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L:\E-MAKS\E-MAKS-2-EM\01_Erdgas\01_Bilanzierung\03_Temperaturen\05_Langjährige Monatsmitteltemperatur\2023\"/>
    </mc:Choice>
  </mc:AlternateContent>
  <xr:revisionPtr revIDLastSave="0" documentId="13_ncr:1_{7F862D9F-96CC-423F-BA60-12B6B17FAB2D}" xr6:coauthVersionLast="47" xr6:coauthVersionMax="47" xr10:uidLastSave="{00000000-0000-0000-0000-000000000000}"/>
  <workbookProtection lockStructure="1"/>
  <bookViews>
    <workbookView xWindow="-28920" yWindow="-5610" windowWidth="29040" windowHeight="18240" tabRatio="789" activeTab="9" xr2:uid="{00000000-000D-0000-FFFF-FFFF00000000}"/>
  </bookViews>
  <sheets>
    <sheet name="Info" sheetId="1" r:id="rId1"/>
    <sheet name="Netzbetreiber" sheetId="2" r:id="rId2"/>
    <sheet name="SLP-Verfahren" sheetId="3" r:id="rId3"/>
    <sheet name="SLP-Temp-Gebiet#01" sheetId="4" r:id="rId4"/>
    <sheet name="SLP-Temp-Gebiet#02" sheetId="5" r:id="rId5"/>
    <sheet name="SLP-Profile" sheetId="6" r:id="rId6"/>
    <sheet name="SLP-Feiertage" sheetId="7" r:id="rId7"/>
    <sheet name="BDEW-Standard" sheetId="8" state="hidden" r:id="rId8"/>
    <sheet name="Wochentag F(WT)" sheetId="9" state="hidden" r:id="rId9"/>
    <sheet name="HIST_MONATSDURCHSCHNITT" sheetId="10" r:id="rId10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  <definedName name="Z_2AD71B1A_5547_4554_B6E7_4BAB59EA70EB_.wvu.Cols" localSheetId="9" hidden="1">HIST_MONATSDURCHSCHNITT!$G:$XFD</definedName>
    <definedName name="Z_2AD71B1A_5547_4554_B6E7_4BAB59EA70EB_.wvu.Cols" localSheetId="0" hidden="1">Info!$P:$XFD</definedName>
    <definedName name="Z_2AD71B1A_5547_4554_B6E7_4BAB59EA70EB_.wvu.Cols" localSheetId="1" hidden="1">Netzbetreiber!$F:$XFD</definedName>
    <definedName name="Z_2AD71B1A_5547_4554_B6E7_4BAB59EA70EB_.wvu.Cols" localSheetId="6" hidden="1">'SLP-Feiertage'!$D:$D,'SLP-Feiertage'!$AF:$XFD</definedName>
    <definedName name="Z_2AD71B1A_5547_4554_B6E7_4BAB59EA70EB_.wvu.Cols" localSheetId="5" hidden="1">'SLP-Profile'!$G:$G,'SLP-Profile'!$AA:$XFD</definedName>
    <definedName name="Z_2AD71B1A_5547_4554_B6E7_4BAB59EA70EB_.wvu.Cols" localSheetId="3" hidden="1">'SLP-Temp-Gebiet#01'!$Q:$XFD</definedName>
    <definedName name="Z_2AD71B1A_5547_4554_B6E7_4BAB59EA70EB_.wvu.Cols" localSheetId="4" hidden="1">'SLP-Temp-Gebiet#02'!$Q:$XFD</definedName>
    <definedName name="Z_2AD71B1A_5547_4554_B6E7_4BAB59EA70EB_.wvu.Cols" localSheetId="2" hidden="1">'SLP-Verfahren'!$F:$XFD</definedName>
    <definedName name="Z_2AD71B1A_5547_4554_B6E7_4BAB59EA70EB_.wvu.FilterData" localSheetId="7" hidden="1">'BDEW-Standard'!$A$2:$M$158</definedName>
    <definedName name="Z_2AD71B1A_5547_4554_B6E7_4BAB59EA70EB_.wvu.PrintArea" localSheetId="8" hidden="1">'Wochentag F(WT)'!$A$1:$P$22</definedName>
    <definedName name="Z_2AD71B1A_5547_4554_B6E7_4BAB59EA70EB_.wvu.Rows" localSheetId="0" hidden="1">Info!$38:$1048576,Info!$33:$37</definedName>
    <definedName name="Z_2AD71B1A_5547_4554_B6E7_4BAB59EA70EB_.wvu.Rows" localSheetId="1" hidden="1">Netzbetreiber!$51:$1048576</definedName>
    <definedName name="Z_2AD71B1A_5547_4554_B6E7_4BAB59EA70EB_.wvu.Rows" localSheetId="6" hidden="1">'SLP-Feiertage'!$36:$1048576</definedName>
    <definedName name="Z_2AD71B1A_5547_4554_B6E7_4BAB59EA70EB_.wvu.Rows" localSheetId="5" hidden="1">'SLP-Profile'!$60:$1048576</definedName>
    <definedName name="Z_2AD71B1A_5547_4554_B6E7_4BAB59EA70EB_.wvu.Rows" localSheetId="3" hidden="1">'SLP-Temp-Gebiet#01'!$79:$1048576,'SLP-Temp-Gebiet#01'!$74:$77</definedName>
    <definedName name="Z_2AD71B1A_5547_4554_B6E7_4BAB59EA70EB_.wvu.Rows" localSheetId="4" hidden="1">'SLP-Temp-Gebiet#02'!$79:$1048576,'SLP-Temp-Gebiet#02'!$74:$77</definedName>
  </definedNames>
  <calcPr calcId="191029"/>
  <customWorkbookViews>
    <customWorkbookView name="Lorenz Jürgen - Persönliche Ansicht" guid="{2AD71B1A-5547-4554-B6E7-4BAB59EA70EB}" mergeInterval="0" personalView="1" maximized="1" xWindow="-8" yWindow="-8" windowWidth="1936" windowHeight="1216" tabRatio="789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6" i="5" l="1"/>
  <c r="E66" i="4"/>
  <c r="F52" i="4" l="1"/>
  <c r="N70" i="5" l="1"/>
  <c r="M70" i="5"/>
  <c r="L70" i="5"/>
  <c r="K70" i="5"/>
  <c r="J70" i="5"/>
  <c r="I70" i="5"/>
  <c r="H70" i="5"/>
  <c r="G70" i="5"/>
  <c r="N69" i="5"/>
  <c r="M69" i="5"/>
  <c r="L69" i="5"/>
  <c r="K69" i="5"/>
  <c r="J69" i="5"/>
  <c r="I69" i="5"/>
  <c r="H69" i="5"/>
  <c r="G69" i="5"/>
  <c r="F69" i="5"/>
  <c r="E69" i="5"/>
  <c r="N68" i="5"/>
  <c r="M68" i="5"/>
  <c r="L68" i="5"/>
  <c r="K68" i="5"/>
  <c r="J68" i="5"/>
  <c r="I68" i="5"/>
  <c r="H68" i="5"/>
  <c r="G68" i="5"/>
  <c r="F68" i="5"/>
  <c r="E68" i="5"/>
  <c r="N67" i="5"/>
  <c r="M67" i="5"/>
  <c r="L67" i="5"/>
  <c r="K67" i="5"/>
  <c r="J67" i="5"/>
  <c r="I67" i="5"/>
  <c r="H67" i="5"/>
  <c r="G67" i="5"/>
  <c r="F67" i="5"/>
  <c r="N66" i="5"/>
  <c r="M66" i="5"/>
  <c r="L66" i="5"/>
  <c r="K66" i="5"/>
  <c r="J66" i="5"/>
  <c r="I66" i="5"/>
  <c r="H66" i="5"/>
  <c r="G66" i="5"/>
  <c r="F66" i="5"/>
  <c r="M63" i="5"/>
  <c r="K63" i="5"/>
  <c r="I63" i="5"/>
  <c r="G63" i="5"/>
  <c r="E63" i="5"/>
  <c r="L63" i="5"/>
  <c r="N60" i="5"/>
  <c r="M60" i="5"/>
  <c r="L60" i="5"/>
  <c r="K60" i="5"/>
  <c r="J60" i="5"/>
  <c r="I60" i="5"/>
  <c r="H60" i="5"/>
  <c r="G60" i="5"/>
  <c r="F60" i="5"/>
  <c r="E60" i="5"/>
  <c r="N59" i="5"/>
  <c r="M59" i="5"/>
  <c r="L59" i="5"/>
  <c r="K59" i="5"/>
  <c r="J59" i="5"/>
  <c r="I59" i="5"/>
  <c r="H59" i="5"/>
  <c r="G59" i="5"/>
  <c r="F59" i="5"/>
  <c r="E59" i="5"/>
  <c r="N58" i="5"/>
  <c r="M58" i="5"/>
  <c r="L58" i="5"/>
  <c r="K58" i="5"/>
  <c r="J58" i="5"/>
  <c r="I58" i="5"/>
  <c r="H58" i="5"/>
  <c r="G58" i="5"/>
  <c r="F58" i="5"/>
  <c r="E58" i="5"/>
  <c r="N57" i="5"/>
  <c r="M57" i="5"/>
  <c r="L57" i="5"/>
  <c r="K57" i="5"/>
  <c r="J57" i="5"/>
  <c r="I57" i="5"/>
  <c r="H57" i="5"/>
  <c r="G57" i="5"/>
  <c r="F57" i="5"/>
  <c r="E57" i="5"/>
  <c r="N56" i="5"/>
  <c r="M56" i="5"/>
  <c r="L56" i="5"/>
  <c r="K56" i="5"/>
  <c r="J56" i="5"/>
  <c r="I56" i="5"/>
  <c r="H56" i="5"/>
  <c r="G56" i="5"/>
  <c r="F56" i="5"/>
  <c r="E56" i="5"/>
  <c r="F52" i="5"/>
  <c r="L53" i="5" s="1"/>
  <c r="N29" i="5"/>
  <c r="M29" i="5"/>
  <c r="L29" i="5"/>
  <c r="K29" i="5"/>
  <c r="J29" i="5"/>
  <c r="I29" i="5"/>
  <c r="H29" i="5"/>
  <c r="G29" i="5"/>
  <c r="F29" i="5"/>
  <c r="E29" i="5"/>
  <c r="T23" i="5"/>
  <c r="N19" i="5"/>
  <c r="M19" i="5"/>
  <c r="L19" i="5"/>
  <c r="K19" i="5"/>
  <c r="J19" i="5"/>
  <c r="I19" i="5"/>
  <c r="H19" i="5"/>
  <c r="G19" i="5"/>
  <c r="F19" i="5"/>
  <c r="E19" i="5"/>
  <c r="F11" i="5"/>
  <c r="F9" i="5"/>
  <c r="E7" i="5"/>
  <c r="E6" i="5"/>
  <c r="E4" i="5"/>
  <c r="I53" i="5" l="1"/>
  <c r="D32" i="5"/>
  <c r="K31" i="5" s="1"/>
  <c r="K53" i="5"/>
  <c r="D22" i="5"/>
  <c r="I21" i="5" s="1"/>
  <c r="E53" i="5"/>
  <c r="M53" i="5"/>
  <c r="G53" i="5"/>
  <c r="F53" i="5"/>
  <c r="J53" i="5"/>
  <c r="N53" i="5"/>
  <c r="F63" i="5"/>
  <c r="J63" i="5"/>
  <c r="N63" i="5"/>
  <c r="H53" i="5"/>
  <c r="H63" i="5"/>
  <c r="F21" i="5" l="1"/>
  <c r="K21" i="5"/>
  <c r="J21" i="5"/>
  <c r="H21" i="5"/>
  <c r="E21" i="5" s="1"/>
  <c r="G21" i="5"/>
  <c r="J31" i="5"/>
  <c r="H31" i="5"/>
  <c r="I31" i="5"/>
  <c r="N31" i="5"/>
  <c r="L31" i="5"/>
  <c r="M31" i="5"/>
  <c r="G31" i="5"/>
  <c r="F31" i="5"/>
  <c r="L21" i="5"/>
  <c r="N21" i="5"/>
  <c r="D56" i="5"/>
  <c r="G55" i="5" s="1"/>
  <c r="M21" i="5"/>
  <c r="D66" i="5"/>
  <c r="E7" i="4"/>
  <c r="E6" i="4"/>
  <c r="E4" i="4"/>
  <c r="H55" i="5" l="1"/>
  <c r="K55" i="5"/>
  <c r="E31" i="5"/>
  <c r="J55" i="5"/>
  <c r="M55" i="5"/>
  <c r="L55" i="5"/>
  <c r="F55" i="5"/>
  <c r="I55" i="5"/>
  <c r="E55" i="5" s="1"/>
  <c r="N55" i="5"/>
  <c r="N65" i="5"/>
  <c r="J65" i="5"/>
  <c r="F65" i="5"/>
  <c r="M65" i="5"/>
  <c r="I65" i="5"/>
  <c r="K65" i="5"/>
  <c r="G65" i="5"/>
  <c r="H65" i="5"/>
  <c r="L65" i="5"/>
  <c r="C33" i="3"/>
  <c r="C32" i="3"/>
  <c r="C29" i="3"/>
  <c r="C28" i="3"/>
  <c r="E65" i="5" l="1"/>
  <c r="D24" i="3" l="1"/>
  <c r="C23" i="3"/>
  <c r="F69" i="4" l="1"/>
  <c r="G69" i="4"/>
  <c r="H69" i="4"/>
  <c r="I69" i="4"/>
  <c r="J69" i="4"/>
  <c r="K69" i="4"/>
  <c r="L69" i="4"/>
  <c r="M69" i="4"/>
  <c r="N69" i="4"/>
  <c r="E69" i="4"/>
  <c r="F11" i="4" l="1"/>
  <c r="I47" i="3"/>
  <c r="J47" i="3"/>
  <c r="K47" i="3"/>
  <c r="L47" i="3"/>
  <c r="M47" i="3"/>
  <c r="N47" i="3"/>
  <c r="O47" i="3"/>
  <c r="P47" i="3"/>
  <c r="Q47" i="3"/>
  <c r="R47" i="3"/>
  <c r="S47" i="3"/>
  <c r="T47" i="3"/>
  <c r="U47" i="3"/>
  <c r="V47" i="3"/>
  <c r="H47" i="3"/>
  <c r="G56" i="4"/>
  <c r="H56" i="4"/>
  <c r="W11" i="6"/>
  <c r="V11" i="6"/>
  <c r="U11" i="6"/>
  <c r="T11" i="6"/>
  <c r="S11" i="6"/>
  <c r="R11" i="6"/>
  <c r="R13" i="6"/>
  <c r="S13" i="6"/>
  <c r="T13" i="6"/>
  <c r="U13" i="6"/>
  <c r="V13" i="6"/>
  <c r="W13" i="6"/>
  <c r="R14" i="6"/>
  <c r="S14" i="6"/>
  <c r="T14" i="6"/>
  <c r="U14" i="6"/>
  <c r="V14" i="6"/>
  <c r="W14" i="6"/>
  <c r="R15" i="6"/>
  <c r="S15" i="6"/>
  <c r="T15" i="6"/>
  <c r="U15" i="6"/>
  <c r="V15" i="6"/>
  <c r="W15" i="6"/>
  <c r="R16" i="6"/>
  <c r="S16" i="6"/>
  <c r="T16" i="6"/>
  <c r="U16" i="6"/>
  <c r="V16" i="6"/>
  <c r="W16" i="6"/>
  <c r="R17" i="6"/>
  <c r="S17" i="6"/>
  <c r="T17" i="6"/>
  <c r="U17" i="6"/>
  <c r="V17" i="6"/>
  <c r="W17" i="6"/>
  <c r="R18" i="6"/>
  <c r="S18" i="6"/>
  <c r="T18" i="6"/>
  <c r="U18" i="6"/>
  <c r="V18" i="6"/>
  <c r="W18" i="6"/>
  <c r="R19" i="6"/>
  <c r="S19" i="6"/>
  <c r="T19" i="6"/>
  <c r="U19" i="6"/>
  <c r="V19" i="6"/>
  <c r="W19" i="6"/>
  <c r="R20" i="6"/>
  <c r="S20" i="6"/>
  <c r="T20" i="6"/>
  <c r="U20" i="6"/>
  <c r="V20" i="6"/>
  <c r="W20" i="6"/>
  <c r="R21" i="6"/>
  <c r="S21" i="6"/>
  <c r="T21" i="6"/>
  <c r="U21" i="6"/>
  <c r="V21" i="6"/>
  <c r="W21" i="6"/>
  <c r="R22" i="6"/>
  <c r="S22" i="6"/>
  <c r="T22" i="6"/>
  <c r="U22" i="6"/>
  <c r="V22" i="6"/>
  <c r="W22" i="6"/>
  <c r="R23" i="6"/>
  <c r="S23" i="6"/>
  <c r="T23" i="6"/>
  <c r="U23" i="6"/>
  <c r="V23" i="6"/>
  <c r="W23" i="6"/>
  <c r="R24" i="6"/>
  <c r="S24" i="6"/>
  <c r="T24" i="6"/>
  <c r="U24" i="6"/>
  <c r="V24" i="6"/>
  <c r="W24" i="6"/>
  <c r="S12" i="6"/>
  <c r="T12" i="6"/>
  <c r="U12" i="6"/>
  <c r="V12" i="6"/>
  <c r="W12" i="6"/>
  <c r="R12" i="6"/>
  <c r="X12" i="6" l="1"/>
  <c r="X21" i="6"/>
  <c r="X13" i="6"/>
  <c r="X11" i="6"/>
  <c r="X24" i="6"/>
  <c r="X23" i="6"/>
  <c r="X20" i="6"/>
  <c r="X19" i="6"/>
  <c r="X16" i="6"/>
  <c r="X15" i="6"/>
  <c r="X17" i="6"/>
  <c r="X22" i="6"/>
  <c r="X18" i="6"/>
  <c r="X14" i="6"/>
  <c r="G57" i="4"/>
  <c r="H57" i="4"/>
  <c r="I57" i="4"/>
  <c r="J57" i="4"/>
  <c r="K57" i="4"/>
  <c r="L57" i="4"/>
  <c r="M57" i="4"/>
  <c r="N57" i="4"/>
  <c r="H63" i="4"/>
  <c r="G53" i="4"/>
  <c r="F66" i="4"/>
  <c r="G66" i="4"/>
  <c r="H66" i="4"/>
  <c r="I66" i="4"/>
  <c r="J66" i="4"/>
  <c r="K66" i="4"/>
  <c r="L66" i="4"/>
  <c r="M66" i="4"/>
  <c r="N66" i="4"/>
  <c r="F67" i="4"/>
  <c r="G67" i="4"/>
  <c r="H67" i="4"/>
  <c r="I67" i="4"/>
  <c r="J67" i="4"/>
  <c r="K67" i="4"/>
  <c r="L67" i="4"/>
  <c r="M67" i="4"/>
  <c r="N67" i="4"/>
  <c r="F68" i="4"/>
  <c r="G68" i="4"/>
  <c r="H68" i="4"/>
  <c r="I68" i="4"/>
  <c r="J68" i="4"/>
  <c r="K68" i="4"/>
  <c r="L68" i="4"/>
  <c r="M68" i="4"/>
  <c r="N68" i="4"/>
  <c r="G70" i="4"/>
  <c r="H70" i="4"/>
  <c r="I70" i="4"/>
  <c r="J70" i="4"/>
  <c r="K70" i="4"/>
  <c r="L70" i="4"/>
  <c r="M70" i="4"/>
  <c r="N70" i="4"/>
  <c r="F56" i="4"/>
  <c r="I56" i="4"/>
  <c r="J56" i="4"/>
  <c r="K56" i="4"/>
  <c r="L56" i="4"/>
  <c r="M56" i="4"/>
  <c r="N56" i="4"/>
  <c r="F57" i="4"/>
  <c r="F58" i="4"/>
  <c r="G58" i="4"/>
  <c r="H58" i="4"/>
  <c r="I58" i="4"/>
  <c r="J58" i="4"/>
  <c r="K58" i="4"/>
  <c r="L58" i="4"/>
  <c r="M58" i="4"/>
  <c r="N58" i="4"/>
  <c r="F59" i="4"/>
  <c r="G59" i="4"/>
  <c r="H59" i="4"/>
  <c r="I59" i="4"/>
  <c r="J59" i="4"/>
  <c r="K59" i="4"/>
  <c r="L59" i="4"/>
  <c r="M59" i="4"/>
  <c r="N59" i="4"/>
  <c r="F60" i="4"/>
  <c r="G60" i="4"/>
  <c r="H60" i="4"/>
  <c r="I60" i="4"/>
  <c r="J60" i="4"/>
  <c r="K60" i="4"/>
  <c r="L60" i="4"/>
  <c r="M60" i="4"/>
  <c r="N60" i="4"/>
  <c r="E60" i="4"/>
  <c r="E58" i="4"/>
  <c r="E56" i="4"/>
  <c r="F63" i="4"/>
  <c r="F53" i="4"/>
  <c r="M53" i="4"/>
  <c r="F19" i="4"/>
  <c r="G19" i="4"/>
  <c r="H19" i="4"/>
  <c r="I19" i="4"/>
  <c r="J19" i="4"/>
  <c r="K19" i="4"/>
  <c r="L19" i="4"/>
  <c r="M19" i="4"/>
  <c r="N19" i="4"/>
  <c r="E19" i="4"/>
  <c r="F29" i="4"/>
  <c r="G29" i="4"/>
  <c r="H29" i="4"/>
  <c r="I29" i="4"/>
  <c r="J29" i="4"/>
  <c r="K29" i="4"/>
  <c r="L29" i="4"/>
  <c r="M29" i="4"/>
  <c r="N29" i="4"/>
  <c r="E29" i="4"/>
  <c r="T23" i="4"/>
  <c r="E67" i="4"/>
  <c r="E59" i="4"/>
  <c r="E57" i="4"/>
  <c r="E68" i="4"/>
  <c r="E63" i="4" l="1"/>
  <c r="J63" i="4"/>
  <c r="G63" i="4"/>
  <c r="N63" i="4"/>
  <c r="K63" i="4"/>
  <c r="N53" i="4"/>
  <c r="J53" i="4"/>
  <c r="I53" i="4"/>
  <c r="M63" i="4"/>
  <c r="I63" i="4"/>
  <c r="L63" i="4"/>
  <c r="L53" i="4"/>
  <c r="H53" i="4"/>
  <c r="E53" i="4"/>
  <c r="K53" i="4"/>
  <c r="D22" i="4"/>
  <c r="D32" i="4"/>
  <c r="J31" i="4" l="1"/>
  <c r="N31" i="4"/>
  <c r="G31" i="4"/>
  <c r="K31" i="4"/>
  <c r="F31" i="4"/>
  <c r="H31" i="4"/>
  <c r="L31" i="4"/>
  <c r="I31" i="4"/>
  <c r="M31" i="4"/>
  <c r="G21" i="4"/>
  <c r="K21" i="4"/>
  <c r="F21" i="4"/>
  <c r="H21" i="4"/>
  <c r="L21" i="4"/>
  <c r="I21" i="4"/>
  <c r="M21" i="4"/>
  <c r="J21" i="4"/>
  <c r="N21" i="4"/>
  <c r="D56" i="4"/>
  <c r="D66" i="4"/>
  <c r="G65" i="4" l="1"/>
  <c r="K65" i="4"/>
  <c r="F65" i="4"/>
  <c r="H65" i="4"/>
  <c r="L65" i="4"/>
  <c r="I65" i="4"/>
  <c r="M65" i="4"/>
  <c r="J65" i="4"/>
  <c r="N65" i="4"/>
  <c r="I55" i="4"/>
  <c r="M55" i="4"/>
  <c r="J55" i="4"/>
  <c r="N55" i="4"/>
  <c r="G55" i="4"/>
  <c r="K55" i="4"/>
  <c r="F55" i="4"/>
  <c r="H55" i="4"/>
  <c r="L55" i="4"/>
  <c r="E31" i="4"/>
  <c r="E21" i="4"/>
  <c r="E65" i="4" l="1"/>
  <c r="E55" i="4"/>
  <c r="F9" i="4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D28" i="2" l="1"/>
  <c r="E5" i="5" s="1"/>
  <c r="C7" i="7"/>
  <c r="J8" i="6"/>
  <c r="D8" i="6"/>
  <c r="D8" i="3"/>
  <c r="C5" i="7" l="1"/>
  <c r="E5" i="4"/>
  <c r="C4" i="7"/>
  <c r="C6" i="7"/>
  <c r="D5" i="6"/>
  <c r="D7" i="6"/>
  <c r="D7" i="3"/>
  <c r="D5" i="3"/>
  <c r="E10" i="7"/>
  <c r="C20" i="3" l="1"/>
  <c r="C19" i="3"/>
  <c r="M9" i="9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9"/>
  <c r="K22" i="9"/>
  <c r="K21" i="9"/>
  <c r="J21" i="9"/>
  <c r="I21" i="9"/>
  <c r="H21" i="9"/>
  <c r="G21" i="9"/>
  <c r="F21" i="9"/>
  <c r="E21" i="9"/>
  <c r="D21" i="9"/>
  <c r="M20" i="9"/>
  <c r="M19" i="9"/>
  <c r="M16" i="9"/>
  <c r="M18" i="9"/>
  <c r="M17" i="9"/>
  <c r="M15" i="9"/>
  <c r="M14" i="9"/>
  <c r="M13" i="9"/>
  <c r="M12" i="9"/>
  <c r="M11" i="9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9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F12" i="6" l="1"/>
  <c r="F16" i="6"/>
  <c r="F20" i="6"/>
  <c r="F24" i="6"/>
  <c r="F13" i="6"/>
  <c r="F17" i="6"/>
  <c r="F21" i="6"/>
  <c r="F22" i="6"/>
  <c r="F19" i="6"/>
  <c r="F14" i="6"/>
  <c r="F18" i="6"/>
  <c r="F15" i="6"/>
  <c r="F23" i="6"/>
  <c r="P24" i="6"/>
  <c r="L24" i="6"/>
  <c r="H24" i="6"/>
  <c r="M23" i="6"/>
  <c r="I23" i="6"/>
  <c r="N22" i="6"/>
  <c r="J22" i="6"/>
  <c r="O21" i="6"/>
  <c r="K21" i="6"/>
  <c r="P20" i="6"/>
  <c r="L20" i="6"/>
  <c r="H20" i="6"/>
  <c r="M19" i="6"/>
  <c r="I19" i="6"/>
  <c r="N18" i="6"/>
  <c r="J18" i="6"/>
  <c r="O17" i="6"/>
  <c r="K17" i="6"/>
  <c r="P16" i="6"/>
  <c r="L16" i="6"/>
  <c r="H16" i="6"/>
  <c r="M15" i="6"/>
  <c r="I15" i="6"/>
  <c r="N14" i="6"/>
  <c r="J14" i="6"/>
  <c r="O13" i="6"/>
  <c r="K13" i="6"/>
  <c r="P12" i="6"/>
  <c r="L12" i="6"/>
  <c r="H12" i="6"/>
  <c r="P15" i="6"/>
  <c r="H15" i="6"/>
  <c r="I14" i="6"/>
  <c r="J13" i="6"/>
  <c r="K12" i="6"/>
  <c r="M24" i="6"/>
  <c r="N23" i="6"/>
  <c r="O22" i="6"/>
  <c r="P21" i="6"/>
  <c r="H21" i="6"/>
  <c r="N19" i="6"/>
  <c r="O18" i="6"/>
  <c r="P17" i="6"/>
  <c r="I16" i="6"/>
  <c r="O14" i="6"/>
  <c r="L13" i="6"/>
  <c r="I12" i="6"/>
  <c r="O24" i="6"/>
  <c r="K24" i="6"/>
  <c r="P23" i="6"/>
  <c r="L23" i="6"/>
  <c r="H23" i="6"/>
  <c r="M22" i="6"/>
  <c r="I22" i="6"/>
  <c r="N21" i="6"/>
  <c r="J21" i="6"/>
  <c r="O20" i="6"/>
  <c r="K20" i="6"/>
  <c r="P19" i="6"/>
  <c r="L19" i="6"/>
  <c r="H19" i="6"/>
  <c r="M18" i="6"/>
  <c r="I18" i="6"/>
  <c r="N17" i="6"/>
  <c r="J17" i="6"/>
  <c r="O16" i="6"/>
  <c r="K16" i="6"/>
  <c r="L15" i="6"/>
  <c r="M14" i="6"/>
  <c r="N13" i="6"/>
  <c r="O12" i="6"/>
  <c r="I24" i="6"/>
  <c r="J23" i="6"/>
  <c r="K22" i="6"/>
  <c r="L21" i="6"/>
  <c r="M20" i="6"/>
  <c r="J19" i="6"/>
  <c r="K18" i="6"/>
  <c r="L17" i="6"/>
  <c r="M16" i="6"/>
  <c r="J15" i="6"/>
  <c r="P13" i="6"/>
  <c r="M12" i="6"/>
  <c r="N24" i="6"/>
  <c r="J24" i="6"/>
  <c r="O23" i="6"/>
  <c r="K23" i="6"/>
  <c r="P22" i="6"/>
  <c r="L22" i="6"/>
  <c r="H22" i="6"/>
  <c r="M21" i="6"/>
  <c r="I21" i="6"/>
  <c r="N20" i="6"/>
  <c r="J20" i="6"/>
  <c r="O19" i="6"/>
  <c r="K19" i="6"/>
  <c r="P18" i="6"/>
  <c r="L18" i="6"/>
  <c r="H18" i="6"/>
  <c r="M17" i="6"/>
  <c r="I17" i="6"/>
  <c r="N16" i="6"/>
  <c r="J16" i="6"/>
  <c r="O15" i="6"/>
  <c r="K15" i="6"/>
  <c r="P14" i="6"/>
  <c r="L14" i="6"/>
  <c r="H14" i="6"/>
  <c r="M13" i="6"/>
  <c r="I13" i="6"/>
  <c r="N12" i="6"/>
  <c r="J12" i="6"/>
  <c r="I20" i="6"/>
  <c r="H17" i="6"/>
  <c r="N15" i="6"/>
  <c r="K14" i="6"/>
  <c r="H13" i="6"/>
  <c r="N11" i="6"/>
  <c r="L11" i="6"/>
  <c r="H11" i="6"/>
  <c r="P11" i="6"/>
  <c r="M11" i="6"/>
  <c r="O11" i="6"/>
  <c r="J11" i="6"/>
  <c r="K11" i="6"/>
  <c r="I11" i="6"/>
  <c r="F11" i="6"/>
  <c r="M8" i="9"/>
  <c r="M7" i="9"/>
  <c r="D6" i="3"/>
  <c r="D6" i="6"/>
  <c r="Q18" i="6" l="1"/>
  <c r="Q13" i="6"/>
  <c r="Q15" i="6"/>
  <c r="Q11" i="6"/>
  <c r="Q20" i="6"/>
  <c r="Q12" i="6"/>
  <c r="Q16" i="6"/>
  <c r="Q21" i="6"/>
  <c r="Q22" i="6"/>
  <c r="Q19" i="6"/>
  <c r="Q14" i="6"/>
  <c r="Q17" i="6"/>
  <c r="Q23" i="6"/>
  <c r="Q24" i="6"/>
  <c r="C20" i="6"/>
  <c r="C14" i="6"/>
  <c r="C12" i="6"/>
  <c r="C19" i="6"/>
  <c r="C16" i="6"/>
  <c r="C15" i="6"/>
  <c r="C17" i="6"/>
  <c r="C22" i="6"/>
  <c r="C13" i="6"/>
  <c r="C23" i="6"/>
  <c r="C18" i="6"/>
  <c r="C21" i="6"/>
  <c r="C24" i="6"/>
</calcChain>
</file>

<file path=xl/sharedStrings.xml><?xml version="1.0" encoding="utf-8"?>
<sst xmlns="http://schemas.openxmlformats.org/spreadsheetml/2006/main" count="1387" uniqueCount="687">
  <si>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</si>
  <si>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</si>
  <si>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</si>
  <si>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</si>
  <si>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</si>
  <si>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</si>
  <si>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</si>
  <si>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</si>
  <si>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</si>
  <si>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</si>
  <si>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</si>
  <si>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</si>
  <si>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</si>
  <si>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</si>
  <si>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</si>
  <si>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</si>
  <si>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</si>
  <si>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</si>
  <si>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</si>
  <si>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</si>
  <si>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</si>
  <si>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</si>
  <si>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</si>
  <si>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</si>
  <si>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</si>
  <si>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</si>
  <si>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</si>
  <si>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</si>
  <si>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</si>
  <si>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</si>
  <si>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</si>
  <si>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</si>
  <si>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</si>
  <si>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</si>
  <si>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</si>
  <si>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</si>
  <si>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</si>
  <si>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</si>
  <si>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</si>
  <si>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</si>
  <si>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</si>
  <si>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</si>
  <si>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</si>
  <si>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</si>
  <si>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</si>
  <si>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</si>
  <si>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</si>
  <si>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</si>
  <si>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</si>
  <si>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</si>
  <si>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</si>
  <si>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</si>
  <si>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</si>
  <si>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</si>
  <si>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</si>
  <si>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</si>
  <si>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</si>
  <si>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</si>
  <si>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</si>
  <si>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</si>
  <si>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</si>
  <si>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</si>
  <si>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</si>
  <si>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</si>
  <si>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</si>
  <si>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</si>
  <si>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</si>
  <si>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</si>
  <si>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</si>
  <si>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</si>
  <si>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</si>
  <si>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</si>
  <si>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</si>
  <si>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</si>
  <si>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</si>
  <si>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</si>
  <si>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</si>
  <si>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</si>
  <si>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</si>
  <si>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</si>
  <si>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</si>
  <si>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</si>
  <si>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</si>
  <si>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</si>
  <si>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</si>
  <si>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</si>
  <si>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</si>
  <si>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</si>
  <si>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</si>
  <si>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</si>
  <si>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</si>
  <si>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</si>
  <si>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</si>
  <si>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</si>
  <si>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</si>
  <si>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</si>
  <si>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</si>
  <si>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</si>
  <si>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</si>
  <si>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</si>
  <si>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</si>
  <si>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</si>
  <si>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</si>
  <si>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</si>
  <si>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</si>
  <si>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</si>
  <si>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</si>
  <si>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</si>
  <si>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</si>
  <si>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</si>
  <si>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</si>
  <si>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</si>
  <si>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</si>
  <si>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</si>
  <si>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</si>
  <si>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</si>
  <si>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</si>
  <si>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</si>
  <si>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</si>
  <si>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</si>
  <si>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</si>
  <si>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</si>
  <si>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</si>
  <si>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</si>
  <si>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</si>
  <si>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</si>
  <si>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</si>
  <si>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</si>
  <si>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</si>
  <si>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</si>
  <si>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</si>
  <si>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</si>
  <si>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</si>
  <si>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</si>
  <si>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</si>
  <si>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</si>
  <si>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</si>
  <si>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</si>
  <si>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</si>
  <si>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</si>
  <si>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</si>
  <si>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</si>
  <si>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</si>
  <si>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</si>
  <si>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</si>
  <si>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</si>
  <si>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</si>
  <si>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</si>
  <si>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</si>
  <si>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</si>
  <si>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</si>
  <si>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</si>
  <si>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</si>
  <si>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</si>
  <si>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</si>
  <si>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</si>
  <si>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</si>
  <si>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</si>
  <si>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</si>
  <si>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</si>
  <si>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</si>
  <si>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</si>
  <si>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</si>
  <si>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</si>
  <si>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</si>
  <si>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</si>
  <si>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</si>
  <si>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</si>
  <si>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</si>
  <si>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</si>
  <si>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</si>
  <si>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</si>
  <si>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</si>
  <si>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</si>
  <si>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</si>
  <si>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</si>
  <si>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</si>
  <si>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</si>
  <si>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</si>
  <si>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</si>
  <si>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</si>
  <si>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</si>
  <si>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</si>
  <si>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</si>
  <si>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</si>
  <si>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</si>
  <si>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</si>
  <si>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</si>
  <si>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</si>
  <si>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</si>
  <si>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</si>
  <si>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</si>
  <si>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</si>
  <si>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</si>
  <si>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</si>
  <si>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</si>
  <si>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</si>
  <si>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</si>
  <si>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</si>
  <si>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</si>
  <si>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</si>
  <si>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</si>
  <si>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</si>
  <si>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</si>
  <si>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</si>
  <si>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</si>
  <si>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</si>
  <si>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</si>
  <si>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</si>
  <si>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</si>
  <si>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</si>
  <si>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</si>
  <si>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</si>
  <si>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</si>
  <si>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</si>
  <si>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</si>
  <si>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</si>
  <si>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</si>
  <si>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</si>
  <si>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</si>
  <si>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</si>
  <si>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</si>
  <si>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</si>
  <si>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</si>
  <si>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</si>
  <si>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</si>
  <si>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</si>
  <si>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</si>
  <si>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</si>
  <si>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</si>
  <si>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</si>
  <si>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</si>
  <si>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</si>
  <si>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</si>
  <si>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</si>
  <si>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</si>
  <si>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</si>
  <si>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</si>
  <si>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</si>
  <si>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</si>
  <si>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</si>
  <si>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</si>
  <si>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</si>
  <si>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</si>
  <si>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</si>
  <si>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</si>
  <si>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</si>
  <si>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</si>
  <si>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</si>
  <si>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</si>
  <si>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</si>
  <si>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</si>
  <si>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</si>
  <si>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</si>
  <si>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</si>
  <si>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</si>
  <si>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</si>
  <si>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</si>
  <si>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</si>
  <si>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</si>
  <si>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</si>
  <si>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</si>
  <si>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</si>
  <si>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</si>
  <si>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</si>
  <si>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</si>
  <si>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</si>
  <si>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</si>
  <si>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</si>
  <si>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</si>
  <si>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</si>
  <si>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</si>
  <si>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</si>
  <si>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</si>
  <si>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</si>
  <si>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</si>
  <si>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</si>
  <si>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</si>
  <si>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</si>
  <si>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</si>
  <si>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</si>
  <si>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</si>
  <si>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</si>
  <si>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</si>
  <si>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</si>
  <si>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</si>
  <si>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</si>
  <si>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</si>
  <si>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</si>
  <si>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</si>
  <si>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</si>
  <si>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</si>
  <si>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</si>
  <si>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</si>
  <si>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</si>
  <si>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</si>
  <si>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</si>
  <si>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</si>
  <si>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</si>
  <si>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</si>
  <si>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</si>
  <si>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</si>
  <si>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</si>
  <si>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</si>
  <si>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</si>
  <si>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</si>
  <si>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</si>
  <si>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</si>
  <si>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</si>
  <si>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</si>
  <si>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</si>
  <si>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</si>
  <si>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</si>
  <si>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</si>
  <si>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</si>
  <si>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</si>
  <si>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</si>
  <si>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</si>
  <si>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</si>
  <si>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</si>
  <si>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</si>
  <si>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</si>
  <si>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</si>
  <si>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</si>
  <si>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</si>
  <si>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</si>
  <si>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</si>
  <si>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</si>
  <si>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</si>
  <si>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</si>
  <si>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</si>
  <si>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</si>
  <si>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</si>
  <si>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</si>
  <si>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</si>
  <si>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</si>
  <si>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</si>
  <si>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</si>
  <si>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</si>
  <si>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</si>
  <si>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</si>
  <si>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</si>
  <si>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</si>
  <si>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</si>
  <si>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</si>
  <si>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</si>
  <si>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</si>
  <si>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</si>
  <si>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</si>
  <si>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</si>
  <si>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</si>
  <si>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</si>
  <si>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</si>
  <si>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</si>
  <si>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</si>
  <si>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</si>
  <si>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</si>
  <si>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</si>
  <si>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</si>
  <si>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</si>
  <si>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</si>
  <si>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</si>
  <si>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</si>
  <si>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</si>
  <si>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</si>
  <si>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</si>
  <si>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</si>
  <si>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</si>
  <si>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</si>
  <si>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</si>
  <si>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</si>
  <si>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</si>
  <si>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</si>
  <si>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</si>
  <si>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</si>
  <si>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</si>
  <si>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</si>
  <si>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</si>
  <si>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</si>
  <si>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</si>
  <si>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</si>
  <si>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</si>
  <si>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</si>
  <si>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</si>
  <si>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</si>
  <si>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</si>
  <si>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</si>
  <si>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</si>
  <si>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</si>
  <si>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</si>
  <si>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</si>
  <si>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</si>
  <si>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</si>
  <si>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</si>
  <si>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</si>
  <si>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</si>
  <si>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</si>
  <si>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</si>
  <si>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</si>
  <si>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</si>
  <si>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</si>
  <si>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</si>
  <si>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</si>
  <si>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</si>
  <si>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</si>
  <si>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</si>
  <si>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</si>
  <si>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</si>
  <si>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</si>
  <si>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</si>
  <si>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</si>
  <si>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</si>
  <si>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</si>
  <si>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</si>
  <si>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</si>
  <si>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</si>
  <si>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</si>
  <si>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</si>
  <si>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</si>
  <si>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</si>
  <si>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</si>
  <si>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</si>
  <si>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</si>
  <si>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</si>
  <si>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</si>
  <si>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</si>
  <si>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</si>
  <si>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</si>
  <si>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</si>
  <si>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</si>
  <si>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</si>
  <si>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</si>
  <si>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</si>
  <si>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</si>
  <si>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</si>
  <si>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</si>
  <si>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</si>
  <si>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</si>
  <si>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</si>
  <si>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</si>
  <si>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</si>
  <si>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</si>
  <si>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</si>
  <si>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</si>
  <si>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</si>
  <si>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</si>
  <si>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</si>
  <si>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</si>
  <si>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</si>
  <si>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</si>
  <si>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</si>
  <si>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</si>
  <si>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</si>
  <si>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</si>
  <si>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</si>
  <si>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</si>
  <si>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</si>
  <si>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</si>
  <si>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</si>
  <si>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</si>
  <si>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</si>
  <si>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</si>
  <si>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</si>
  <si>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</si>
  <si>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</si>
  <si>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</si>
  <si>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</si>
  <si>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</si>
  <si>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</si>
  <si>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</si>
  <si>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</si>
  <si>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</si>
  <si>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</si>
  <si>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</si>
  <si>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</si>
  <si>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</si>
  <si>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</si>
  <si>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</si>
  <si>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</si>
  <si>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</si>
  <si>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</si>
  <si>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</si>
  <si>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</si>
  <si>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</si>
  <si>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</si>
  <si>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</si>
  <si>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</si>
  <si>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</si>
  <si>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</si>
  <si>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</si>
  <si>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</si>
  <si>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</si>
  <si>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</si>
  <si>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</si>
  <si>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</si>
  <si>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</si>
  <si>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</si>
  <si>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</si>
  <si>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</si>
  <si>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</si>
  <si>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</si>
  <si>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</si>
  <si>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</si>
  <si>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</si>
  <si>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</si>
  <si>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</si>
  <si>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</si>
  <si>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</si>
  <si>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</si>
  <si>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</si>
  <si>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</si>
  <si>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</si>
  <si>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</si>
  <si>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</si>
  <si>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</si>
  <si>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</si>
  <si>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</si>
  <si>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</si>
  <si>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</si>
  <si>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</si>
  <si>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</si>
  <si>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</si>
  <si>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</si>
  <si>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</si>
  <si>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</si>
  <si>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</si>
  <si>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</si>
  <si>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</si>
  <si>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</si>
  <si>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</si>
  <si>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</si>
  <si>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</si>
  <si>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</si>
  <si>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</si>
  <si>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</si>
  <si>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</si>
  <si>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</si>
  <si>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</si>
  <si>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</si>
  <si>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</si>
  <si>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</si>
  <si>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</si>
  <si>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</si>
  <si>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</si>
  <si>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</si>
  <si>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</si>
  <si>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</si>
  <si>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</si>
  <si>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</si>
  <si>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</si>
  <si>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</si>
  <si>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</si>
  <si>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</si>
  <si>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</si>
  <si>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</si>
  <si>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</si>
  <si>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</si>
  <si>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</si>
  <si>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</si>
  <si>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</si>
  <si>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</si>
  <si>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</si>
  <si>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</si>
  <si>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</si>
  <si>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</si>
  <si>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</si>
  <si>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</si>
  <si>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</si>
  <si>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</si>
  <si>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</si>
  <si>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</si>
  <si>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</si>
  <si>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</si>
  <si>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</si>
  <si>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</si>
  <si>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DEF-St.</t>
  </si>
  <si>
    <t>verwendeter Feiertagskalender des Netzgebiets</t>
  </si>
  <si>
    <t>DE_HMF03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</si>
  <si>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</si>
  <si>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</si>
  <si>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</si>
  <si>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</si>
  <si>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</si>
  <si>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</si>
  <si>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</si>
  <si>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</si>
  <si>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</si>
  <si>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</si>
  <si>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</si>
  <si>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</si>
  <si>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</si>
  <si>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</si>
  <si>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</si>
  <si>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</si>
  <si>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</si>
  <si>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</si>
  <si>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</si>
  <si>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</si>
  <si>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</si>
  <si>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</si>
  <si>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</si>
  <si>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</si>
  <si>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</si>
  <si>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</si>
  <si>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</si>
  <si>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</si>
  <si>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</si>
  <si>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</si>
  <si>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</si>
  <si>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</si>
  <si>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</si>
  <si>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</si>
  <si>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</si>
  <si>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</si>
  <si>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</si>
  <si>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</si>
  <si>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</si>
  <si>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</si>
  <si>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</si>
  <si>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</si>
  <si>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</si>
  <si>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</si>
  <si>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</si>
  <si>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</si>
  <si>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</si>
  <si>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</si>
  <si>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</si>
  <si>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</si>
  <si>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</si>
  <si>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</si>
  <si>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</si>
  <si>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</si>
  <si>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</si>
  <si>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</si>
  <si>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</si>
  <si>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</si>
  <si>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</si>
  <si>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</si>
  <si>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</si>
  <si>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</si>
  <si>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</si>
  <si>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</si>
  <si>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</si>
  <si>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</si>
  <si>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</si>
  <si>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</si>
  <si>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</si>
  <si>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</si>
  <si>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</si>
  <si>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</si>
  <si>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</si>
  <si>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</si>
  <si>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</si>
  <si>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</si>
  <si>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</si>
  <si>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EDM.bnnetze@energiexchange.de</t>
  </si>
  <si>
    <t>0761/88888-2274</t>
  </si>
  <si>
    <t>bnNETZE GmbH</t>
  </si>
  <si>
    <t>9800192200000</t>
  </si>
  <si>
    <t>Tullastraße 61</t>
  </si>
  <si>
    <t>Freiburg</t>
  </si>
  <si>
    <t>Oliver Brucker</t>
  </si>
  <si>
    <t>bnNETZE</t>
  </si>
  <si>
    <t>NCHN007000740000</t>
  </si>
  <si>
    <t>March/Breisgau</t>
  </si>
  <si>
    <t>Tuttlingen</t>
  </si>
  <si>
    <t>10802 March/Breisgau</t>
  </si>
  <si>
    <t>10923 Tuttlingen</t>
  </si>
  <si>
    <t>DE_HEF33</t>
  </si>
  <si>
    <t>DE_HMF33</t>
  </si>
  <si>
    <t>DE_GMK33</t>
  </si>
  <si>
    <t>DE_GKO33</t>
  </si>
  <si>
    <t>DE_GHA33</t>
  </si>
  <si>
    <t>DE_GBD33</t>
  </si>
  <si>
    <t>DE_GBH33</t>
  </si>
  <si>
    <t>DE_GGA33</t>
  </si>
  <si>
    <t>DE_GBA33</t>
  </si>
  <si>
    <t>DE_GWA33</t>
  </si>
  <si>
    <t>DE_GGB33</t>
  </si>
  <si>
    <t>DE_GPD33</t>
  </si>
  <si>
    <t>Temp. hist. Ø (Monat)</t>
  </si>
  <si>
    <t>2009 - 2015</t>
  </si>
  <si>
    <t>AB-Datum</t>
  </si>
  <si>
    <t>BIS-Datum</t>
  </si>
  <si>
    <t>SLP-Temp-Gebiet#01 | Hist. Monatsdurchschnitt 10802 March/Breisgau</t>
  </si>
  <si>
    <t>SLP-Temp-Gebiet#02 | Hist. Monatsdurchschnitt 10923 Tuttlingen</t>
  </si>
  <si>
    <t>2009 - 2019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</si>
</sst>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ourier New"/>
      <family val="3"/>
    </font>
    <font>
      <b/>
      <sz val="11"/>
      <color theme="1"/>
      <name val="Courier New"/>
      <family val="3"/>
    </font>
  </fonts>
  <fills count="8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2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3" fontId="7" fillId="0" borderId="0" applyFont="0" applyFill="0" applyBorder="0" applyAlignment="0" applyProtection="0"/>
    <xf numFmtId="174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5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6" fontId="41" fillId="0" borderId="0">
      <alignment horizontal="right"/>
    </xf>
    <xf numFmtId="0" fontId="42" fillId="0" borderId="36" applyNumberFormat="0" applyFill="0" applyAlignment="0" applyProtection="0"/>
    <xf numFmtId="177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164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8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6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5" fontId="80" fillId="34" borderId="24" xfId="3" applyNumberFormat="1" applyFont="1" applyFill="1" applyBorder="1" applyAlignment="1" applyProtection="1">
      <alignment horizontal="center" vertical="center"/>
    </xf>
    <xf numFmtId="165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9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8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8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1" fontId="7" fillId="0" borderId="17" xfId="3" applyNumberFormat="1" applyFont="1" applyBorder="1" applyAlignment="1" applyProtection="1">
      <alignment vertical="center"/>
    </xf>
    <xf numFmtId="171" fontId="7" fillId="0" borderId="17" xfId="3" applyNumberFormat="1" applyFont="1" applyBorder="1" applyAlignment="1" applyProtection="1">
      <alignment horizontal="center" vertical="center"/>
    </xf>
    <xf numFmtId="170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1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1" fillId="34" borderId="0" xfId="69" applyNumberFormat="1" applyFont="1" applyFill="1" applyBorder="1" applyProtection="1"/>
    <xf numFmtId="180" fontId="11" fillId="34" borderId="0" xfId="69" applyNumberFormat="1" applyFont="1" applyFill="1" applyBorder="1" applyAlignment="1" applyProtection="1">
      <alignment horizontal="center"/>
    </xf>
    <xf numFmtId="181" fontId="11" fillId="34" borderId="0" xfId="69" applyNumberFormat="1" applyFont="1" applyFill="1" applyBorder="1" applyProtection="1"/>
    <xf numFmtId="181" fontId="11" fillId="34" borderId="18" xfId="69" applyNumberFormat="1" applyFont="1" applyFill="1" applyBorder="1" applyProtection="1"/>
    <xf numFmtId="179" fontId="11" fillId="76" borderId="0" xfId="69" applyNumberFormat="1" applyFont="1" applyFill="1" applyBorder="1" applyProtection="1"/>
    <xf numFmtId="180" fontId="11" fillId="76" borderId="0" xfId="69" applyNumberFormat="1" applyFont="1" applyFill="1" applyBorder="1" applyAlignment="1" applyProtection="1">
      <alignment horizontal="center"/>
    </xf>
    <xf numFmtId="181" fontId="11" fillId="76" borderId="0" xfId="69" applyNumberFormat="1" applyFont="1" applyFill="1" applyBorder="1" applyProtection="1"/>
    <xf numFmtId="181" fontId="11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1" fillId="76" borderId="40" xfId="69" applyNumberFormat="1" applyFont="1" applyFill="1" applyBorder="1" applyProtection="1"/>
    <xf numFmtId="180" fontId="11" fillId="76" borderId="40" xfId="69" applyNumberFormat="1" applyFont="1" applyFill="1" applyBorder="1" applyAlignment="1" applyProtection="1">
      <alignment horizontal="center"/>
    </xf>
    <xf numFmtId="181" fontId="11" fillId="76" borderId="40" xfId="69" applyNumberFormat="1" applyFont="1" applyFill="1" applyBorder="1" applyProtection="1"/>
    <xf numFmtId="181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4" fontId="0" fillId="72" borderId="77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8" xfId="0" applyNumberFormat="1" applyFont="1" applyFill="1" applyBorder="1" applyAlignment="1" applyProtection="1">
      <alignment horizontal="center" vertical="center"/>
      <protection locked="0"/>
    </xf>
    <xf numFmtId="193" fontId="0" fillId="71" borderId="72" xfId="0" applyNumberFormat="1" applyFont="1" applyFill="1" applyBorder="1" applyAlignment="1" applyProtection="1">
      <alignment horizontal="center" vertical="center"/>
      <protection locked="0"/>
    </xf>
    <xf numFmtId="184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 vertical="center" wrapText="1"/>
    </xf>
    <xf numFmtId="0" fontId="0" fillId="70" borderId="0" xfId="0" applyFill="1"/>
    <xf numFmtId="0" fontId="92" fillId="70" borderId="72" xfId="0" applyFont="1" applyFill="1" applyBorder="1" applyAlignment="1">
      <alignment horizontal="center"/>
    </xf>
    <xf numFmtId="0" fontId="92" fillId="70" borderId="25" xfId="0" applyFont="1" applyFill="1" applyBorder="1" applyAlignment="1">
      <alignment horizontal="center"/>
    </xf>
    <xf numFmtId="14" fontId="92" fillId="70" borderId="68" xfId="0" applyNumberFormat="1" applyFont="1" applyFill="1" applyBorder="1" applyAlignment="1">
      <alignment horizontal="center"/>
    </xf>
    <xf numFmtId="14" fontId="92" fillId="70" borderId="41" xfId="0" applyNumberFormat="1" applyFont="1" applyFill="1" applyBorder="1" applyAlignment="1">
      <alignment horizontal="center"/>
    </xf>
    <xf numFmtId="14" fontId="92" fillId="70" borderId="27" xfId="0" applyNumberFormat="1" applyFont="1" applyFill="1" applyBorder="1" applyAlignment="1">
      <alignment horizontal="center"/>
    </xf>
    <xf numFmtId="14" fontId="92" fillId="70" borderId="26" xfId="0" applyNumberFormat="1" applyFont="1" applyFill="1" applyBorder="1" applyAlignment="1">
      <alignment horizontal="center"/>
    </xf>
    <xf numFmtId="0" fontId="93" fillId="37" borderId="22" xfId="0" applyFont="1" applyFill="1" applyBorder="1" applyAlignment="1">
      <alignment horizontal="center"/>
    </xf>
    <xf numFmtId="0" fontId="93" fillId="37" borderId="23" xfId="0" applyFont="1" applyFill="1" applyBorder="1" applyAlignment="1">
      <alignment horizontal="center"/>
    </xf>
    <xf numFmtId="0" fontId="93" fillId="37" borderId="21" xfId="0" applyFont="1" applyFill="1" applyBorder="1" applyAlignment="1">
      <alignment horizontal="center"/>
    </xf>
    <xf numFmtId="14" fontId="92" fillId="77" borderId="68" xfId="0" applyNumberFormat="1" applyFont="1" applyFill="1" applyBorder="1" applyAlignment="1">
      <alignment horizontal="center"/>
    </xf>
    <xf numFmtId="14" fontId="92" fillId="77" borderId="27" xfId="0" applyNumberFormat="1" applyFont="1" applyFill="1" applyBorder="1" applyAlignment="1">
      <alignment horizontal="center"/>
    </xf>
    <xf numFmtId="14" fontId="92" fillId="77" borderId="56" xfId="0" applyNumberFormat="1" applyFont="1" applyFill="1" applyBorder="1" applyAlignment="1">
      <alignment horizontal="center"/>
    </xf>
    <xf numFmtId="14" fontId="92" fillId="70" borderId="0" xfId="0" applyNumberFormat="1" applyFont="1" applyFill="1" applyBorder="1" applyAlignment="1">
      <alignment horizontal="center"/>
    </xf>
    <xf numFmtId="192" fontId="93" fillId="70" borderId="21" xfId="0" applyNumberFormat="1" applyFont="1" applyFill="1" applyBorder="1" applyAlignment="1">
      <alignment horizontal="center"/>
    </xf>
    <xf numFmtId="192" fontId="93" fillId="70" borderId="72" xfId="0" applyNumberFormat="1" applyFont="1" applyFill="1" applyBorder="1" applyAlignment="1">
      <alignment horizontal="center"/>
    </xf>
    <xf numFmtId="14" fontId="92" fillId="70" borderId="56" xfId="0" applyNumberFormat="1" applyFont="1" applyFill="1" applyBorder="1" applyAlignment="1">
      <alignment horizontal="center"/>
    </xf>
    <xf numFmtId="192" fontId="93" fillId="70" borderId="25" xfId="0" applyNumberFormat="1" applyFont="1" applyFill="1" applyBorder="1" applyAlignment="1">
      <alignment horizontal="center"/>
    </xf>
    <xf numFmtId="14" fontId="92" fillId="77" borderId="0" xfId="0" applyNumberFormat="1" applyFont="1" applyFill="1" applyAlignment="1">
      <alignment horizontal="center"/>
    </xf>
    <xf numFmtId="14" fontId="92" fillId="70" borderId="0" xfId="0" applyNumberFormat="1" applyFont="1" applyFill="1" applyAlignment="1">
      <alignment horizont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14" fontId="92" fillId="77" borderId="22" xfId="0" applyNumberFormat="1" applyFont="1" applyFill="1" applyBorder="1" applyAlignment="1">
      <alignment horizontal="center"/>
    </xf>
    <xf numFmtId="14" fontId="92" fillId="77" borderId="24" xfId="0" applyNumberFormat="1" applyFont="1" applyFill="1" applyBorder="1" applyAlignment="1">
      <alignment horizontal="center"/>
    </xf>
    <xf numFmtId="192" fontId="93" fillId="78" borderId="21" xfId="0" applyNumberFormat="1" applyFont="1" applyFill="1" applyBorder="1" applyAlignment="1">
      <alignment horizontal="center"/>
    </xf>
    <xf numFmtId="192" fontId="93" fillId="79" borderId="21" xfId="0" applyNumberFormat="1" applyFont="1" applyFill="1" applyBorder="1" applyAlignment="1">
      <alignment horizontal="center"/>
    </xf>
    <xf numFmtId="192" fontId="93" fillId="78" borderId="72" xfId="0" applyNumberFormat="1" applyFont="1" applyFill="1" applyBorder="1" applyAlignment="1">
      <alignment horizontal="center"/>
    </xf>
    <xf numFmtId="192" fontId="93" fillId="79" borderId="72" xfId="0" applyNumberFormat="1" applyFont="1" applyFill="1" applyBorder="1" applyAlignment="1">
      <alignment horizontal="center"/>
    </xf>
    <xf numFmtId="192" fontId="93" fillId="78" borderId="25" xfId="0" applyNumberFormat="1" applyFont="1" applyFill="1" applyBorder="1" applyAlignment="1">
      <alignment horizontal="center"/>
    </xf>
    <xf numFmtId="192" fontId="93" fillId="79" borderId="25" xfId="0" applyNumberFormat="1" applyFont="1" applyFill="1" applyBorder="1" applyAlignment="1">
      <alignment horizont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635794</xdr:colOff>
      <xdr:row>0</xdr:row>
      <xdr:rowOff>163195</xdr:rowOff>
    </xdr:from>
    <xdr:to>
      <xdr:col>4</xdr:col>
      <xdr:colOff>1004615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14</xdr:col>
      <xdr:colOff>2066925</xdr:colOff>
      <xdr:row>46</xdr:row>
      <xdr:rowOff>78492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77525" y="8620125"/>
          <a:ext cx="3762375" cy="1640592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16125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38</xdr:row>
      <xdr:rowOff>0</xdr:rowOff>
    </xdr:from>
    <xdr:to>
      <xdr:col>14</xdr:col>
      <xdr:colOff>2066925</xdr:colOff>
      <xdr:row>46</xdr:row>
      <xdr:rowOff>78492</xdr:rowOff>
    </xdr:to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77525" y="8620125"/>
          <a:ext cx="3762375" cy="1640592"/>
        </a:xfrm>
        <a:prstGeom prst="rect">
          <a:avLst/>
        </a:prstGeom>
        <a:ln w="12700">
          <a:solidFill>
            <a:schemeClr val="tx1">
              <a:lumMod val="75000"/>
              <a:lumOff val="25000"/>
            </a:schemeClr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B2" sqref="B2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651</v>
      </c>
    </row>
    <row r="8" spans="2:7" s="8" customFormat="1">
      <c r="B8" s="8" t="s">
        <v>654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652</v>
      </c>
    </row>
    <row r="12" spans="2:7" s="8" customFormat="1">
      <c r="B12" s="8" t="s">
        <v>497</v>
      </c>
    </row>
    <row r="13" spans="2:7" s="8" customFormat="1">
      <c r="B13" s="8" t="s">
        <v>653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6" t="s">
        <v>644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customSheetViews>
    <customSheetView guid="{2AD71B1A-5547-4554-B6E7-4BAB59EA70EB}" scale="80" showGridLines="0" fitToPage="1" hiddenRows="1" hiddenColumns="1">
      <selection activeCell="C29" sqref="C29"/>
      <pageMargins left="0.7" right="0.7" top="0.78740157499999996" bottom="0.78740157499999996" header="0.3" footer="0.3"/>
      <pageSetup paperSize="9" scale="95" orientation="landscape" r:id="rId1"/>
    </customSheetView>
  </customSheetViews>
  <pageMargins left="0.7" right="0.7" top="0.78740157499999996" bottom="0.78740157499999996" header="0.3" footer="0.3"/>
  <pageSetup paperSize="9" scale="95" orientation="landscape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F99"/>
  <sheetViews>
    <sheetView tabSelected="1" zoomScale="90" zoomScaleNormal="90" workbookViewId="0">
      <pane ySplit="2" topLeftCell="A77" activePane="bottomLeft" state="frozen"/>
      <selection pane="bottomLeft" activeCell="D87" sqref="D87"/>
    </sheetView>
  </sheetViews>
  <sheetFormatPr baseColWidth="10" defaultColWidth="0" defaultRowHeight="15"/>
  <cols>
    <col min="1" max="1" width="11.42578125" style="342" customWidth="1"/>
    <col min="2" max="3" width="14.140625" style="342" bestFit="1" customWidth="1"/>
    <col min="4" max="4" width="88.140625" style="342" bestFit="1" customWidth="1"/>
    <col min="5" max="5" width="82.85546875" style="342" bestFit="1" customWidth="1"/>
    <col min="6" max="6" width="11.42578125" style="342" customWidth="1"/>
    <col min="7" max="16384" width="11.42578125" style="342" hidden="1"/>
  </cols>
  <sheetData>
    <row r="2" spans="2:5" ht="15.75">
      <c r="B2" s="349" t="s">
        <v>682</v>
      </c>
      <c r="C2" s="350" t="s">
        <v>683</v>
      </c>
      <c r="D2" s="351" t="s">
        <v>684</v>
      </c>
      <c r="E2" s="351" t="s">
        <v>685</v>
      </c>
    </row>
    <row r="3" spans="2:5">
      <c r="B3" s="345">
        <v>42644</v>
      </c>
      <c r="C3" s="346">
        <v>42674</v>
      </c>
      <c r="D3" s="343">
        <v>11.039400000000001</v>
      </c>
      <c r="E3" s="343">
        <v>8.5405999999999995</v>
      </c>
    </row>
    <row r="4" spans="2:5">
      <c r="B4" s="345">
        <v>42675</v>
      </c>
      <c r="C4" s="346">
        <v>42704</v>
      </c>
      <c r="D4" s="343">
        <v>6.8274999999999997</v>
      </c>
      <c r="E4" s="343">
        <v>4.2347999999999999</v>
      </c>
    </row>
    <row r="5" spans="2:5">
      <c r="B5" s="345">
        <v>42705</v>
      </c>
      <c r="C5" s="346">
        <v>42735</v>
      </c>
      <c r="D5" s="343">
        <v>3.3359999999999999</v>
      </c>
      <c r="E5" s="343">
        <v>1E-4</v>
      </c>
    </row>
    <row r="6" spans="2:5">
      <c r="B6" s="345">
        <v>42736</v>
      </c>
      <c r="C6" s="346">
        <v>42766</v>
      </c>
      <c r="D6" s="343">
        <v>2.0996000000000001</v>
      </c>
      <c r="E6" s="343">
        <v>-0.75160000000000005</v>
      </c>
    </row>
    <row r="7" spans="2:5">
      <c r="B7" s="345">
        <v>42767</v>
      </c>
      <c r="C7" s="346">
        <v>42794</v>
      </c>
      <c r="D7" s="343">
        <v>2.1444999999999999</v>
      </c>
      <c r="E7" s="343">
        <v>-1.0484</v>
      </c>
    </row>
    <row r="8" spans="2:5">
      <c r="B8" s="345">
        <v>42795</v>
      </c>
      <c r="C8" s="346">
        <v>42825</v>
      </c>
      <c r="D8" s="343">
        <v>7.0197000000000003</v>
      </c>
      <c r="E8" s="343">
        <v>4.0868000000000002</v>
      </c>
    </row>
    <row r="9" spans="2:5">
      <c r="B9" s="345">
        <v>42826</v>
      </c>
      <c r="C9" s="346">
        <v>42855</v>
      </c>
      <c r="D9" s="343">
        <v>11.848000000000001</v>
      </c>
      <c r="E9" s="343">
        <v>8.7658000000000005</v>
      </c>
    </row>
    <row r="10" spans="2:5">
      <c r="B10" s="345">
        <v>42856</v>
      </c>
      <c r="C10" s="346">
        <v>42886</v>
      </c>
      <c r="D10" s="343">
        <v>15.005100000000001</v>
      </c>
      <c r="E10" s="343">
        <v>12.0695</v>
      </c>
    </row>
    <row r="11" spans="2:5">
      <c r="B11" s="345">
        <v>42887</v>
      </c>
      <c r="C11" s="346">
        <v>42916</v>
      </c>
      <c r="D11" s="343">
        <v>18.587499999999999</v>
      </c>
      <c r="E11" s="343">
        <v>15.82</v>
      </c>
    </row>
    <row r="12" spans="2:5">
      <c r="B12" s="345">
        <v>42917</v>
      </c>
      <c r="C12" s="346">
        <v>42947</v>
      </c>
      <c r="D12" s="343">
        <v>20.449200000000001</v>
      </c>
      <c r="E12" s="343">
        <v>17.7089</v>
      </c>
    </row>
    <row r="13" spans="2:5">
      <c r="B13" s="345">
        <v>42948</v>
      </c>
      <c r="C13" s="346">
        <v>42978</v>
      </c>
      <c r="D13" s="343">
        <v>19.7484</v>
      </c>
      <c r="E13" s="343">
        <v>17.1633</v>
      </c>
    </row>
    <row r="14" spans="2:5">
      <c r="B14" s="345">
        <v>42979</v>
      </c>
      <c r="C14" s="346">
        <v>43008</v>
      </c>
      <c r="D14" s="343">
        <v>15.6404</v>
      </c>
      <c r="E14" s="343">
        <v>13.0412</v>
      </c>
    </row>
    <row r="15" spans="2:5">
      <c r="B15" s="347">
        <v>43009</v>
      </c>
      <c r="C15" s="348">
        <v>43039</v>
      </c>
      <c r="D15" s="344">
        <v>10.883699999999999</v>
      </c>
      <c r="E15" s="344">
        <v>8.4580000000000002</v>
      </c>
    </row>
    <row r="16" spans="2:5" ht="15.75">
      <c r="B16" s="345">
        <v>43040</v>
      </c>
      <c r="C16" s="355">
        <v>43069</v>
      </c>
      <c r="D16" s="356">
        <v>7.1264285714285709</v>
      </c>
      <c r="E16" s="356">
        <v>4.4512857142857127</v>
      </c>
    </row>
    <row r="17" spans="2:5" ht="15.75">
      <c r="B17" s="345">
        <v>43070</v>
      </c>
      <c r="C17" s="355">
        <v>43100</v>
      </c>
      <c r="D17" s="357">
        <v>3.9651152073732709</v>
      </c>
      <c r="E17" s="357">
        <v>0.37829493087557625</v>
      </c>
    </row>
    <row r="18" spans="2:5" ht="15.75">
      <c r="B18" s="345">
        <v>43101</v>
      </c>
      <c r="C18" s="355">
        <v>43131</v>
      </c>
      <c r="D18" s="357">
        <v>2.3448387096774179</v>
      </c>
      <c r="E18" s="357">
        <v>-0.61177419354838691</v>
      </c>
    </row>
    <row r="19" spans="2:5" ht="15.75">
      <c r="B19" s="345">
        <v>43132</v>
      </c>
      <c r="C19" s="355">
        <v>43159</v>
      </c>
      <c r="D19" s="357">
        <v>2.5653097345132743</v>
      </c>
      <c r="E19" s="357">
        <v>-0.5765044247787604</v>
      </c>
    </row>
    <row r="20" spans="2:5" ht="15.75">
      <c r="B20" s="345">
        <v>43160</v>
      </c>
      <c r="C20" s="355">
        <v>43190</v>
      </c>
      <c r="D20" s="357">
        <v>6.867338709677421</v>
      </c>
      <c r="E20" s="357">
        <v>3.9787096774193573</v>
      </c>
    </row>
    <row r="21" spans="2:5" ht="15.75">
      <c r="B21" s="345">
        <v>43191</v>
      </c>
      <c r="C21" s="355">
        <v>43220</v>
      </c>
      <c r="D21" s="357">
        <v>11.572666666666663</v>
      </c>
      <c r="E21" s="357">
        <v>8.6264166666666693</v>
      </c>
    </row>
    <row r="22" spans="2:5" ht="15.75">
      <c r="B22" s="345">
        <v>43221</v>
      </c>
      <c r="C22" s="355">
        <v>43251</v>
      </c>
      <c r="D22" s="357">
        <v>14.918387096774204</v>
      </c>
      <c r="E22" s="357">
        <v>12.048991935483867</v>
      </c>
    </row>
    <row r="23" spans="2:5" ht="15.75">
      <c r="B23" s="345">
        <v>43252</v>
      </c>
      <c r="C23" s="355">
        <v>43281</v>
      </c>
      <c r="D23" s="357">
        <v>18.541000000000007</v>
      </c>
      <c r="E23" s="357">
        <v>15.808875</v>
      </c>
    </row>
    <row r="24" spans="2:5" ht="15.75">
      <c r="B24" s="345">
        <v>43282</v>
      </c>
      <c r="C24" s="355">
        <v>43312</v>
      </c>
      <c r="D24" s="357">
        <v>20.497338709677436</v>
      </c>
      <c r="E24" s="357">
        <v>17.756129032258062</v>
      </c>
    </row>
    <row r="25" spans="2:5" ht="15.75">
      <c r="B25" s="345">
        <v>43313</v>
      </c>
      <c r="C25" s="355">
        <v>43343</v>
      </c>
      <c r="D25" s="357">
        <v>19.810403225806446</v>
      </c>
      <c r="E25" s="357">
        <v>17.191008064516129</v>
      </c>
    </row>
    <row r="26" spans="2:5" ht="15.75">
      <c r="B26" s="345">
        <v>43344</v>
      </c>
      <c r="C26" s="355">
        <v>43373</v>
      </c>
      <c r="D26" s="357">
        <v>15.947958333333327</v>
      </c>
      <c r="E26" s="357">
        <v>13.269541666666667</v>
      </c>
    </row>
    <row r="27" spans="2:5" ht="15.75">
      <c r="B27" s="347">
        <v>43374</v>
      </c>
      <c r="C27" s="358">
        <v>43404</v>
      </c>
      <c r="D27" s="359">
        <v>10.713629032258062</v>
      </c>
      <c r="E27" s="359">
        <v>8.3093548387096803</v>
      </c>
    </row>
    <row r="28" spans="2:5" ht="15.75">
      <c r="B28" s="345">
        <v>43405</v>
      </c>
      <c r="C28" s="355">
        <v>43434</v>
      </c>
      <c r="D28" s="356">
        <v>6.9422500000000014</v>
      </c>
      <c r="E28" s="356">
        <v>4.2411666666666656</v>
      </c>
    </row>
    <row r="29" spans="2:5" ht="15.75">
      <c r="B29" s="345">
        <v>43435</v>
      </c>
      <c r="C29" s="355">
        <v>43465</v>
      </c>
      <c r="D29" s="357">
        <v>3.578427419354838</v>
      </c>
      <c r="E29" s="357">
        <v>0.22427419354838726</v>
      </c>
    </row>
    <row r="30" spans="2:5" ht="15.75">
      <c r="B30" s="345">
        <v>43466</v>
      </c>
      <c r="C30" s="355">
        <v>43496</v>
      </c>
      <c r="D30" s="357">
        <v>1.8428315412186367</v>
      </c>
      <c r="E30" s="357">
        <v>-1.0526523297491037</v>
      </c>
    </row>
    <row r="31" spans="2:5" ht="15.75">
      <c r="B31" s="345">
        <v>43497</v>
      </c>
      <c r="C31" s="355">
        <v>43524</v>
      </c>
      <c r="D31" s="357">
        <v>2.8741338582677174</v>
      </c>
      <c r="E31" s="357">
        <v>-0.25070866141732234</v>
      </c>
    </row>
    <row r="32" spans="2:5" ht="15.75">
      <c r="B32" s="345">
        <v>43525</v>
      </c>
      <c r="C32" s="355">
        <v>43555</v>
      </c>
      <c r="D32" s="357">
        <v>7.1718637992831553</v>
      </c>
      <c r="E32" s="357">
        <v>4.2904659498207911</v>
      </c>
    </row>
    <row r="33" spans="2:5" ht="15.75">
      <c r="B33" s="345">
        <v>43556</v>
      </c>
      <c r="C33" s="355">
        <v>43585</v>
      </c>
      <c r="D33" s="357">
        <v>11.411518518518514</v>
      </c>
      <c r="E33" s="357">
        <v>8.4364814814814792</v>
      </c>
    </row>
    <row r="34" spans="2:5" ht="15.75">
      <c r="B34" s="345">
        <v>43586</v>
      </c>
      <c r="C34" s="355">
        <v>43616</v>
      </c>
      <c r="D34" s="357">
        <v>15.097025089605744</v>
      </c>
      <c r="E34" s="357">
        <v>12.162222222222221</v>
      </c>
    </row>
    <row r="35" spans="2:5" ht="15.75">
      <c r="B35" s="345">
        <v>43617</v>
      </c>
      <c r="C35" s="355">
        <v>43646</v>
      </c>
      <c r="D35" s="357">
        <v>18.767074074074085</v>
      </c>
      <c r="E35" s="357">
        <v>16.057259259259258</v>
      </c>
    </row>
    <row r="36" spans="2:5" ht="15.75">
      <c r="B36" s="345">
        <v>43647</v>
      </c>
      <c r="C36" s="355">
        <v>43677</v>
      </c>
      <c r="D36" s="357">
        <v>20.535483870967752</v>
      </c>
      <c r="E36" s="357">
        <v>17.769677419354831</v>
      </c>
    </row>
    <row r="37" spans="2:5" ht="15.75">
      <c r="B37" s="345">
        <v>43678</v>
      </c>
      <c r="C37" s="355">
        <v>43708</v>
      </c>
      <c r="D37" s="357">
        <v>19.871899641577055</v>
      </c>
      <c r="E37" s="357">
        <v>17.258064516129025</v>
      </c>
    </row>
    <row r="38" spans="2:5" ht="15.75">
      <c r="B38" s="345">
        <v>43709</v>
      </c>
      <c r="C38" s="355">
        <v>43738</v>
      </c>
      <c r="D38" s="357">
        <v>15.762444444444437</v>
      </c>
      <c r="E38" s="357">
        <v>13.037444444444439</v>
      </c>
    </row>
    <row r="39" spans="2:5" ht="15.75">
      <c r="B39" s="347">
        <v>43739</v>
      </c>
      <c r="C39" s="358">
        <v>43769</v>
      </c>
      <c r="D39" s="359">
        <v>10.873154121863797</v>
      </c>
      <c r="E39" s="359">
        <v>8.3894265232974945</v>
      </c>
    </row>
    <row r="40" spans="2:5" ht="15.75">
      <c r="B40" s="345">
        <v>43770</v>
      </c>
      <c r="C40" s="355">
        <v>43799</v>
      </c>
      <c r="D40" s="356">
        <v>6.8422222222222242</v>
      </c>
      <c r="E40" s="356">
        <v>4.0933703703703719</v>
      </c>
    </row>
    <row r="41" spans="2:5" ht="15.75">
      <c r="B41" s="345">
        <v>43800</v>
      </c>
      <c r="C41" s="355">
        <v>43830</v>
      </c>
      <c r="D41" s="357">
        <v>3.6052688172043004</v>
      </c>
      <c r="E41" s="357">
        <v>0.19899641577060945</v>
      </c>
    </row>
    <row r="42" spans="2:5" ht="15.75">
      <c r="B42" s="345">
        <v>43831</v>
      </c>
      <c r="C42" s="355">
        <v>43861</v>
      </c>
      <c r="D42" s="357">
        <v>2.2947419354838696</v>
      </c>
      <c r="E42" s="357">
        <v>-0.61738709677419379</v>
      </c>
    </row>
    <row r="43" spans="2:5" ht="15.75">
      <c r="B43" s="345">
        <v>43862</v>
      </c>
      <c r="C43" s="355">
        <v>43889</v>
      </c>
      <c r="D43" s="357">
        <v>2.6274468085106384</v>
      </c>
      <c r="E43" s="357">
        <v>-0.51939716312056694</v>
      </c>
    </row>
    <row r="44" spans="2:5" ht="15.75">
      <c r="B44" s="345">
        <v>43891</v>
      </c>
      <c r="C44" s="355">
        <v>43921</v>
      </c>
      <c r="D44" s="357">
        <v>6.9884516129032308</v>
      </c>
      <c r="E44" s="357">
        <v>4.1068387096774224</v>
      </c>
    </row>
    <row r="45" spans="2:5" ht="15.75">
      <c r="B45" s="345">
        <v>43922</v>
      </c>
      <c r="C45" s="355">
        <v>43951</v>
      </c>
      <c r="D45" s="357">
        <v>11.700333333333328</v>
      </c>
      <c r="E45" s="357">
        <v>8.7495333333333321</v>
      </c>
    </row>
    <row r="46" spans="2:5" ht="15.75">
      <c r="B46" s="345">
        <v>43952</v>
      </c>
      <c r="C46" s="355">
        <v>43982</v>
      </c>
      <c r="D46" s="357">
        <v>15.247516129032268</v>
      </c>
      <c r="E46" s="357">
        <v>12.385064516129031</v>
      </c>
    </row>
    <row r="47" spans="2:5" ht="15.75">
      <c r="B47" s="345">
        <v>43983</v>
      </c>
      <c r="C47" s="355">
        <v>44012</v>
      </c>
      <c r="D47" s="357">
        <v>18.84630000000001</v>
      </c>
      <c r="E47" s="357">
        <v>16.146833333333333</v>
      </c>
    </row>
    <row r="48" spans="2:5" ht="15.75">
      <c r="B48" s="345">
        <v>44013</v>
      </c>
      <c r="C48" s="355">
        <v>44043</v>
      </c>
      <c r="D48" s="357">
        <v>20.705129032258075</v>
      </c>
      <c r="E48" s="357">
        <v>17.898903225806443</v>
      </c>
    </row>
    <row r="49" spans="2:5" ht="15.75">
      <c r="B49" s="345">
        <v>44044</v>
      </c>
      <c r="C49" s="355">
        <v>44074</v>
      </c>
      <c r="D49" s="357">
        <v>20.070000000000004</v>
      </c>
      <c r="E49" s="357">
        <v>17.42506451612903</v>
      </c>
    </row>
    <row r="50" spans="2:5" ht="15.75">
      <c r="B50" s="345">
        <v>44075</v>
      </c>
      <c r="C50" s="355">
        <v>44104</v>
      </c>
      <c r="D50" s="357">
        <v>15.884199999999995</v>
      </c>
      <c r="E50" s="357">
        <v>13.159933333333326</v>
      </c>
    </row>
    <row r="51" spans="2:5" ht="15.75">
      <c r="B51" s="347">
        <v>44105</v>
      </c>
      <c r="C51" s="358">
        <v>44135</v>
      </c>
      <c r="D51" s="359">
        <v>10.925967741935478</v>
      </c>
      <c r="E51" s="359">
        <v>8.4550000000000054</v>
      </c>
    </row>
    <row r="52" spans="2:5" ht="15.75">
      <c r="B52" s="345">
        <v>44136</v>
      </c>
      <c r="C52" s="355">
        <v>44165</v>
      </c>
      <c r="D52" s="356">
        <v>6.7440666666666695</v>
      </c>
      <c r="E52" s="356">
        <v>4.1132333333333344</v>
      </c>
    </row>
    <row r="53" spans="2:5" ht="15.75">
      <c r="B53" s="345">
        <v>44166</v>
      </c>
      <c r="C53" s="355">
        <v>44196</v>
      </c>
      <c r="D53" s="357">
        <v>3.729096774193549</v>
      </c>
      <c r="E53" s="357">
        <v>0.37209677419354853</v>
      </c>
    </row>
    <row r="54" spans="2:5" ht="15.75">
      <c r="B54" s="345">
        <v>44197</v>
      </c>
      <c r="C54" s="355">
        <v>44227</v>
      </c>
      <c r="D54" s="357">
        <v>2.238797653958942</v>
      </c>
      <c r="E54" s="357">
        <v>-0.67011730205278619</v>
      </c>
    </row>
    <row r="55" spans="2:5" ht="15.75">
      <c r="B55" s="345">
        <v>44228</v>
      </c>
      <c r="C55" s="355">
        <v>44255</v>
      </c>
      <c r="D55" s="357">
        <v>2.8964838709677423</v>
      </c>
      <c r="E55" s="357">
        <v>-0.27609677419354778</v>
      </c>
    </row>
    <row r="56" spans="2:5" ht="15.75">
      <c r="B56" s="345">
        <v>44256</v>
      </c>
      <c r="C56" s="355">
        <v>44286</v>
      </c>
      <c r="D56" s="357">
        <v>7.1415542521994171</v>
      </c>
      <c r="E56" s="357">
        <v>4.1981524926686262</v>
      </c>
    </row>
    <row r="57" spans="2:5" ht="15.75">
      <c r="B57" s="345">
        <v>44287</v>
      </c>
      <c r="C57" s="355">
        <v>44316</v>
      </c>
      <c r="D57" s="357">
        <v>11.558090909090904</v>
      </c>
      <c r="E57" s="357">
        <v>8.6954242424242434</v>
      </c>
    </row>
    <row r="58" spans="2:5" ht="15.75">
      <c r="B58" s="345">
        <v>44317</v>
      </c>
      <c r="C58" s="355">
        <v>44347</v>
      </c>
      <c r="D58" s="357">
        <v>15.001466275659832</v>
      </c>
      <c r="E58" s="357">
        <v>12.121348973607036</v>
      </c>
    </row>
    <row r="59" spans="2:5" ht="15.75">
      <c r="B59" s="345">
        <v>44348</v>
      </c>
      <c r="C59" s="355">
        <v>44377</v>
      </c>
      <c r="D59" s="357">
        <v>19.003121212121219</v>
      </c>
      <c r="E59" s="357">
        <v>16.346939393939397</v>
      </c>
    </row>
    <row r="60" spans="2:5" ht="15.75">
      <c r="B60" s="345">
        <v>44378</v>
      </c>
      <c r="C60" s="355">
        <v>44408</v>
      </c>
      <c r="D60" s="357">
        <v>20.778563049853382</v>
      </c>
      <c r="E60" s="357">
        <v>17.998739002932549</v>
      </c>
    </row>
    <row r="61" spans="2:5" ht="15.75">
      <c r="B61" s="345">
        <v>44409</v>
      </c>
      <c r="C61" s="355">
        <v>44439</v>
      </c>
      <c r="D61" s="357">
        <v>20.098621700879765</v>
      </c>
      <c r="E61" s="357">
        <v>17.425953079178893</v>
      </c>
    </row>
    <row r="62" spans="2:5" ht="15.75">
      <c r="B62" s="345">
        <v>44440</v>
      </c>
      <c r="C62" s="355">
        <v>44469</v>
      </c>
      <c r="D62" s="357">
        <v>15.893181818181805</v>
      </c>
      <c r="E62" s="357">
        <v>13.171818181818169</v>
      </c>
    </row>
    <row r="63" spans="2:5" ht="15.75">
      <c r="B63" s="347">
        <v>44470</v>
      </c>
      <c r="C63" s="358">
        <v>44500</v>
      </c>
      <c r="D63" s="359">
        <v>11.095014662756594</v>
      </c>
      <c r="E63" s="359">
        <v>8.5759530791788912</v>
      </c>
    </row>
    <row r="64" spans="2:5" ht="15.75">
      <c r="B64" s="345">
        <v>44501</v>
      </c>
      <c r="C64" s="361">
        <v>44530</v>
      </c>
      <c r="D64" s="356">
        <v>6.6775757575757604</v>
      </c>
      <c r="E64" s="356">
        <v>4.0880909090909103</v>
      </c>
    </row>
    <row r="65" spans="2:5" ht="15.75">
      <c r="B65" s="345">
        <v>44531</v>
      </c>
      <c r="C65" s="361">
        <v>44561</v>
      </c>
      <c r="D65" s="357">
        <v>3.8098826979472142</v>
      </c>
      <c r="E65" s="357">
        <v>0.48709677419354847</v>
      </c>
    </row>
    <row r="66" spans="2:5" ht="15.75">
      <c r="B66" s="345">
        <v>44562</v>
      </c>
      <c r="C66" s="361">
        <v>44592</v>
      </c>
      <c r="D66" s="357">
        <v>2.4336021505376317</v>
      </c>
      <c r="E66" s="357">
        <v>-0.53271505376344108</v>
      </c>
    </row>
    <row r="67" spans="2:5" ht="15.75">
      <c r="B67" s="345">
        <v>44593</v>
      </c>
      <c r="C67" s="361">
        <v>44620</v>
      </c>
      <c r="D67" s="357">
        <v>3.2961651917404131</v>
      </c>
      <c r="E67" s="357">
        <v>8.7935103244838275E-2</v>
      </c>
    </row>
    <row r="68" spans="2:5" ht="15.75">
      <c r="B68" s="345">
        <v>44621</v>
      </c>
      <c r="C68" s="361">
        <v>44651</v>
      </c>
      <c r="D68" s="357">
        <v>7.1707258064516184</v>
      </c>
      <c r="E68" s="357">
        <v>4.1865053763440896</v>
      </c>
    </row>
    <row r="69" spans="2:5" ht="15.75">
      <c r="B69" s="345">
        <v>44652</v>
      </c>
      <c r="C69" s="361">
        <v>44681</v>
      </c>
      <c r="D69" s="357">
        <v>11.747249999999996</v>
      </c>
      <c r="E69" s="357">
        <v>8.8381666666666678</v>
      </c>
    </row>
    <row r="70" spans="2:5" ht="15.75">
      <c r="B70" s="345">
        <v>44682</v>
      </c>
      <c r="C70" s="361">
        <v>44712</v>
      </c>
      <c r="D70" s="357">
        <v>14.994220430107532</v>
      </c>
      <c r="E70" s="357">
        <v>12.087392473118275</v>
      </c>
    </row>
    <row r="71" spans="2:5" ht="15.75">
      <c r="B71" s="345">
        <v>44713</v>
      </c>
      <c r="C71" s="361">
        <v>44742</v>
      </c>
      <c r="D71" s="357">
        <v>18.923444444444453</v>
      </c>
      <c r="E71" s="357">
        <v>16.232888888888887</v>
      </c>
    </row>
    <row r="72" spans="2:5" ht="15.75">
      <c r="B72" s="345">
        <v>44743</v>
      </c>
      <c r="C72" s="361">
        <v>44773</v>
      </c>
      <c r="D72" s="357">
        <v>20.806827956989256</v>
      </c>
      <c r="E72" s="357">
        <v>18.003494623655911</v>
      </c>
    </row>
    <row r="73" spans="2:5" ht="15.75">
      <c r="B73" s="345">
        <v>44774</v>
      </c>
      <c r="C73" s="361">
        <v>44804</v>
      </c>
      <c r="D73" s="357">
        <v>20.228413978494626</v>
      </c>
      <c r="E73" s="357">
        <v>17.45322580645162</v>
      </c>
    </row>
    <row r="74" spans="2:5" ht="15.75">
      <c r="B74" s="345">
        <v>44805</v>
      </c>
      <c r="C74" s="361">
        <v>44834</v>
      </c>
      <c r="D74" s="357">
        <v>16.008694444444433</v>
      </c>
      <c r="E74" s="357">
        <v>13.252749999999986</v>
      </c>
    </row>
    <row r="75" spans="2:5" ht="15.75">
      <c r="B75" s="347">
        <v>44835</v>
      </c>
      <c r="C75" s="358">
        <v>44865</v>
      </c>
      <c r="D75" s="359">
        <v>11.09327956989247</v>
      </c>
      <c r="E75" s="359">
        <v>8.520295698924734</v>
      </c>
    </row>
    <row r="76" spans="2:5" ht="15.75">
      <c r="B76" s="345">
        <v>44866</v>
      </c>
      <c r="C76" s="361">
        <v>44895</v>
      </c>
      <c r="D76" s="356">
        <v>6.6749444444444483</v>
      </c>
      <c r="E76" s="356">
        <v>4.109527777777779</v>
      </c>
    </row>
    <row r="77" spans="2:5" ht="15.75">
      <c r="B77" s="345">
        <v>44896</v>
      </c>
      <c r="C77" s="361">
        <v>44926</v>
      </c>
      <c r="D77" s="357">
        <v>3.8821774193548388</v>
      </c>
      <c r="E77" s="357">
        <v>0.55188172043010764</v>
      </c>
    </row>
    <row r="78" spans="2:5" ht="15.75">
      <c r="B78" s="345">
        <v>44927</v>
      </c>
      <c r="C78" s="361">
        <v>44957</v>
      </c>
      <c r="D78" s="357">
        <v>2.4126550868486327</v>
      </c>
      <c r="E78" s="357">
        <v>-0.58354838709677459</v>
      </c>
    </row>
    <row r="79" spans="2:5" ht="15.75">
      <c r="B79" s="345">
        <v>44958</v>
      </c>
      <c r="C79" s="361">
        <v>44985</v>
      </c>
      <c r="D79" s="357">
        <v>3.4449591280653964</v>
      </c>
      <c r="E79" s="357">
        <v>0.25397820163487778</v>
      </c>
    </row>
    <row r="80" spans="2:5" ht="15.75">
      <c r="B80" s="345">
        <v>44986</v>
      </c>
      <c r="C80" s="361">
        <v>45016</v>
      </c>
      <c r="D80" s="357">
        <v>7.1374937965260585</v>
      </c>
      <c r="E80" s="357">
        <v>4.154789081885859</v>
      </c>
    </row>
    <row r="81" spans="2:5" ht="15.75">
      <c r="B81" s="345">
        <v>45017</v>
      </c>
      <c r="C81" s="361">
        <v>45046</v>
      </c>
      <c r="D81" s="357">
        <v>11.469256410256401</v>
      </c>
      <c r="E81" s="357">
        <v>8.5947179487179497</v>
      </c>
    </row>
    <row r="82" spans="2:5" ht="15.75">
      <c r="B82" s="345">
        <v>45047</v>
      </c>
      <c r="C82" s="361">
        <v>45077</v>
      </c>
      <c r="D82" s="357">
        <v>14.76389578163772</v>
      </c>
      <c r="E82" s="357">
        <v>11.856600496277911</v>
      </c>
    </row>
    <row r="83" spans="2:5" ht="15.75">
      <c r="B83" s="345">
        <v>45078</v>
      </c>
      <c r="C83" s="361">
        <v>45107</v>
      </c>
      <c r="D83" s="357">
        <v>19.030871794871803</v>
      </c>
      <c r="E83" s="357">
        <v>16.343692307692308</v>
      </c>
    </row>
    <row r="84" spans="2:5" ht="15.75">
      <c r="B84" s="345">
        <v>45108</v>
      </c>
      <c r="C84" s="361">
        <v>45138</v>
      </c>
      <c r="D84" s="357">
        <v>20.698362282878417</v>
      </c>
      <c r="E84" s="357">
        <v>17.907196029776678</v>
      </c>
    </row>
    <row r="85" spans="2:5" ht="15.75">
      <c r="B85" s="345">
        <v>45139</v>
      </c>
      <c r="C85" s="361">
        <v>45169</v>
      </c>
      <c r="D85" s="357">
        <v>20.074615384615388</v>
      </c>
      <c r="E85" s="357">
        <v>17.296774193548391</v>
      </c>
    </row>
    <row r="86" spans="2:5" ht="15.75">
      <c r="B86" s="345">
        <v>45170</v>
      </c>
      <c r="C86" s="361">
        <v>45199</v>
      </c>
      <c r="D86" s="357">
        <v>16.076487179487174</v>
      </c>
      <c r="E86" s="357">
        <v>13.299205128205115</v>
      </c>
    </row>
    <row r="87" spans="2:5" ht="15.75">
      <c r="B87" s="347">
        <v>45200</v>
      </c>
      <c r="C87" s="358">
        <v>45230</v>
      </c>
      <c r="D87" s="359">
        <v>10.820595533498761</v>
      </c>
      <c r="E87" s="359">
        <v>8.6758064516129068</v>
      </c>
    </row>
    <row r="88" spans="2:5" ht="15.75">
      <c r="B88" s="377">
        <v>45231</v>
      </c>
      <c r="C88" s="378">
        <v>45260</v>
      </c>
      <c r="D88" s="379">
        <v>6.3561025641025681</v>
      </c>
      <c r="E88" s="380">
        <v>4.1400769230769239</v>
      </c>
    </row>
    <row r="89" spans="2:5" ht="15.75">
      <c r="B89" s="352">
        <v>45261</v>
      </c>
      <c r="C89" s="360">
        <v>45291</v>
      </c>
      <c r="D89" s="381">
        <v>3.6981885856079408</v>
      </c>
      <c r="E89" s="382">
        <v>0.83945409429280404</v>
      </c>
    </row>
    <row r="90" spans="2:5" ht="15.75">
      <c r="B90" s="352">
        <v>45292</v>
      </c>
      <c r="C90" s="360">
        <v>45322</v>
      </c>
      <c r="D90" s="381">
        <v>2.2629032258064496</v>
      </c>
      <c r="E90" s="382">
        <v>-0.37066820276497736</v>
      </c>
    </row>
    <row r="91" spans="2:5" ht="15.75">
      <c r="B91" s="352">
        <v>45323</v>
      </c>
      <c r="C91" s="360">
        <v>45350</v>
      </c>
      <c r="D91" s="381">
        <v>3.3881012658227858</v>
      </c>
      <c r="E91" s="382">
        <v>0.68154430379746878</v>
      </c>
    </row>
    <row r="92" spans="2:5" ht="15.75">
      <c r="B92" s="352">
        <v>45352</v>
      </c>
      <c r="C92" s="360">
        <v>45382</v>
      </c>
      <c r="D92" s="381">
        <v>6.9693778801843358</v>
      </c>
      <c r="E92" s="382">
        <v>4.4338248847926298</v>
      </c>
    </row>
    <row r="93" spans="2:5" ht="15.75">
      <c r="B93" s="352">
        <v>45383</v>
      </c>
      <c r="C93" s="360">
        <v>45412</v>
      </c>
      <c r="D93" s="381">
        <v>11.182880952380946</v>
      </c>
      <c r="E93" s="382">
        <v>8.7412857142857163</v>
      </c>
    </row>
    <row r="94" spans="2:5" ht="15.75">
      <c r="B94" s="352">
        <v>45413</v>
      </c>
      <c r="C94" s="360">
        <v>45443</v>
      </c>
      <c r="D94" s="381">
        <v>14.71186635944701</v>
      </c>
      <c r="E94" s="382">
        <v>12.252096774193545</v>
      </c>
    </row>
    <row r="95" spans="2:5" ht="15.75">
      <c r="B95" s="352">
        <v>45444</v>
      </c>
      <c r="C95" s="360">
        <v>45473</v>
      </c>
      <c r="D95" s="381">
        <v>18.963666666666676</v>
      </c>
      <c r="E95" s="382">
        <v>16.66628571428571</v>
      </c>
    </row>
    <row r="96" spans="2:5" ht="15.75">
      <c r="B96" s="352">
        <v>45474</v>
      </c>
      <c r="C96" s="360">
        <v>45504</v>
      </c>
      <c r="D96" s="381">
        <v>20.603087557603704</v>
      </c>
      <c r="E96" s="382">
        <v>18.234792626728112</v>
      </c>
    </row>
    <row r="97" spans="2:5" ht="15.75">
      <c r="B97" s="352">
        <v>45505</v>
      </c>
      <c r="C97" s="360">
        <v>45535</v>
      </c>
      <c r="D97" s="381">
        <v>19.976658986175121</v>
      </c>
      <c r="E97" s="382">
        <v>17.680875576036875</v>
      </c>
    </row>
    <row r="98" spans="2:5" ht="15.75">
      <c r="B98" s="352">
        <v>45536</v>
      </c>
      <c r="C98" s="360">
        <v>45565</v>
      </c>
      <c r="D98" s="381">
        <v>15.80840476190475</v>
      </c>
      <c r="E98" s="382">
        <v>13.472119047619039</v>
      </c>
    </row>
    <row r="99" spans="2:5" ht="15.75">
      <c r="B99" s="353">
        <v>45566</v>
      </c>
      <c r="C99" s="354">
        <v>45596</v>
      </c>
      <c r="D99" s="383">
        <v>11.122119815668206</v>
      </c>
      <c r="E99" s="384">
        <v>8.9049539170506975</v>
      </c>
    </row>
  </sheetData>
  <customSheetViews>
    <customSheetView guid="{2AD71B1A-5547-4554-B6E7-4BAB59EA70EB}" scale="90" hiddenColumns="1">
      <pane ySplit="2" topLeftCell="A27" activePane="bottomLeft" state="frozen"/>
      <selection pane="bottomLeft" activeCell="D43" sqref="D43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21" sqref="D2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648</v>
      </c>
      <c r="D4" s="27">
        <v>45224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647</v>
      </c>
      <c r="D6" s="27">
        <v>42644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657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0" t="s">
        <v>658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659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79108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660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661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655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656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bnNETZE</v>
      </c>
      <c r="E28" s="38"/>
      <c r="F28" s="11"/>
      <c r="G28" s="2"/>
    </row>
    <row r="29" spans="1:15">
      <c r="B29" s="15"/>
      <c r="C29" s="22" t="s">
        <v>395</v>
      </c>
      <c r="D29" s="45" t="s">
        <v>662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ustomSheetViews>
    <customSheetView guid="{2AD71B1A-5547-4554-B6E7-4BAB59EA70EB}" scale="80" showGridLines="0" fitToPage="1" hiddenRows="1" hiddenColumns="1">
      <selection activeCell="D6" sqref="D6"/>
      <pageMargins left="0.7" right="0.7" top="0.78740157499999996" bottom="0.78740157499999996" header="0.3" footer="0.3"/>
      <pageSetup paperSize="9" scale="80" orientation="portrait" r:id="rId1"/>
    </customSheetView>
  </customSheetViews>
  <conditionalFormatting sqref="D29:D48">
    <cfRule type="expression" dxfId="64" priority="2">
      <formula>IF(CELL("Zeile",D29)&lt;$D$25+CELL("Zeile",$D$29),1,0)</formula>
    </cfRule>
  </conditionalFormatting>
  <conditionalFormatting sqref="D30:D48">
    <cfRule type="expression" dxfId="63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62"/>
  <sheetViews>
    <sheetView showGridLines="0" zoomScale="80" zoomScaleNormal="80" workbookViewId="0">
      <selection activeCell="D11" sqref="D11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bnNETZE GmbH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bnNETZE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7" t="str">
        <f>Netzbetreiber!$D$11</f>
        <v>9800192200000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42644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609</v>
      </c>
      <c r="D13" s="33" t="s">
        <v>610</v>
      </c>
      <c r="E13" s="15"/>
      <c r="H13" s="271" t="s">
        <v>610</v>
      </c>
      <c r="I13" s="271" t="s">
        <v>611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663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569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607</v>
      </c>
      <c r="D22" s="49" t="s">
        <v>603</v>
      </c>
      <c r="E22" s="15"/>
      <c r="H22" s="267" t="s">
        <v>603</v>
      </c>
      <c r="I22" s="267" t="s">
        <v>604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605</v>
      </c>
      <c r="E23" s="15"/>
      <c r="H23" s="267" t="s">
        <v>606</v>
      </c>
      <c r="I23" s="8" t="s">
        <v>602</v>
      </c>
      <c r="J23" s="8"/>
      <c r="K23" s="8"/>
      <c r="L23" s="268"/>
    </row>
    <row r="24" spans="2:16" ht="15" customHeight="1">
      <c r="B24" s="22"/>
      <c r="C24" s="24" t="s">
        <v>608</v>
      </c>
      <c r="D24" s="24" t="str">
        <f>IF(D22=$H$22,L24,IF(D23=$H$24,M24,N24))</f>
        <v>=&gt;  Q(D) = KW  x  h(T, SLP-Typ)  x  F(WT)</v>
      </c>
      <c r="E24" s="15"/>
      <c r="H24" s="267" t="s">
        <v>605</v>
      </c>
      <c r="I24" s="267" t="s">
        <v>612</v>
      </c>
      <c r="J24" s="8"/>
      <c r="K24" s="8"/>
      <c r="L24" s="270" t="s">
        <v>613</v>
      </c>
      <c r="M24" s="270" t="s">
        <v>615</v>
      </c>
      <c r="N24" s="270" t="s">
        <v>614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572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616</v>
      </c>
      <c r="D27" s="42" t="s">
        <v>617</v>
      </c>
      <c r="E27" s="15"/>
      <c r="H27" s="296" t="s">
        <v>617</v>
      </c>
      <c r="I27" s="269" t="s">
        <v>618</v>
      </c>
      <c r="J27" s="269" t="s">
        <v>619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7">
        <v>1</v>
      </c>
      <c r="E28" s="15"/>
      <c r="H28" s="270" t="s">
        <v>620</v>
      </c>
      <c r="I28" s="270" t="s">
        <v>621</v>
      </c>
      <c r="J28" s="270" t="s">
        <v>622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8"/>
      <c r="E29" s="15"/>
      <c r="H29" s="270" t="s">
        <v>623</v>
      </c>
      <c r="I29" s="270" t="s">
        <v>624</v>
      </c>
      <c r="J29" s="270" t="s">
        <v>625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571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626</v>
      </c>
      <c r="I32" s="270" t="s">
        <v>627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628</v>
      </c>
      <c r="I33" s="267" t="s">
        <v>623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543</v>
      </c>
      <c r="C35" s="24" t="s">
        <v>494</v>
      </c>
      <c r="D35" s="42">
        <v>13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544</v>
      </c>
      <c r="C37" s="5" t="s">
        <v>365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545</v>
      </c>
      <c r="C40" s="5" t="s">
        <v>366</v>
      </c>
      <c r="D40" s="36">
        <v>500</v>
      </c>
      <c r="E40" s="15" t="s">
        <v>535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534</v>
      </c>
    </row>
    <row r="44" spans="2:39" ht="18" customHeight="1">
      <c r="C44" s="3" t="s">
        <v>536</v>
      </c>
    </row>
    <row r="45" spans="2:39" ht="18" customHeight="1">
      <c r="C45" s="3"/>
    </row>
    <row r="46" spans="2:39" ht="15" customHeight="1">
      <c r="B46" s="22" t="s">
        <v>546</v>
      </c>
      <c r="C46" s="60" t="s">
        <v>570</v>
      </c>
      <c r="D46" s="42">
        <v>2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>
        <f t="shared" ref="I47:V47" si="0">IF(I46&lt;=$D$46,I46,"")</f>
        <v>2</v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580</v>
      </c>
      <c r="D48" s="45" t="s">
        <v>666</v>
      </c>
    </row>
    <row r="49" spans="3:4" ht="18" customHeight="1">
      <c r="C49" s="22" t="s">
        <v>581</v>
      </c>
      <c r="D49" s="45" t="s">
        <v>667</v>
      </c>
    </row>
    <row r="50" spans="3:4" ht="18" customHeight="1">
      <c r="C50" s="22" t="s">
        <v>582</v>
      </c>
      <c r="D50" s="45"/>
    </row>
    <row r="51" spans="3:4" ht="18" customHeight="1">
      <c r="C51" s="22" t="s">
        <v>583</v>
      </c>
      <c r="D51" s="45"/>
    </row>
    <row r="52" spans="3:4" ht="18" customHeight="1">
      <c r="C52" s="22" t="s">
        <v>584</v>
      </c>
      <c r="D52" s="45"/>
    </row>
    <row r="53" spans="3:4" ht="18" customHeight="1">
      <c r="C53" s="22" t="s">
        <v>585</v>
      </c>
      <c r="D53" s="45"/>
    </row>
    <row r="54" spans="3:4" ht="18" customHeight="1">
      <c r="C54" s="22" t="s">
        <v>586</v>
      </c>
      <c r="D54" s="45"/>
    </row>
    <row r="55" spans="3:4" ht="18" customHeight="1">
      <c r="C55" s="22" t="s">
        <v>587</v>
      </c>
      <c r="D55" s="45"/>
    </row>
    <row r="56" spans="3:4" ht="18" customHeight="1">
      <c r="C56" s="22" t="s">
        <v>588</v>
      </c>
      <c r="D56" s="45"/>
    </row>
    <row r="57" spans="3:4" ht="18" customHeight="1">
      <c r="C57" s="22" t="s">
        <v>589</v>
      </c>
      <c r="D57" s="45"/>
    </row>
    <row r="58" spans="3:4" ht="18" customHeight="1">
      <c r="C58" s="22" t="s">
        <v>590</v>
      </c>
      <c r="D58" s="45"/>
    </row>
    <row r="59" spans="3:4" ht="18" customHeight="1">
      <c r="C59" s="22" t="s">
        <v>591</v>
      </c>
      <c r="D59" s="45"/>
    </row>
    <row r="60" spans="3:4" ht="18" customHeight="1">
      <c r="C60" s="22" t="s">
        <v>592</v>
      </c>
      <c r="D60" s="45"/>
    </row>
    <row r="61" spans="3:4" ht="18" customHeight="1">
      <c r="C61" s="22" t="s">
        <v>593</v>
      </c>
      <c r="D61" s="45"/>
    </row>
    <row r="62" spans="3:4" ht="18" customHeight="1">
      <c r="C62" s="22" t="s">
        <v>594</v>
      </c>
      <c r="D62" s="45"/>
    </row>
  </sheetData>
  <customSheetViews>
    <customSheetView guid="{2AD71B1A-5547-4554-B6E7-4BAB59EA70EB}" scale="80" showGridLines="0" fitToPage="1" hiddenColumns="1" topLeftCell="A10">
      <selection activeCell="C54" sqref="C54"/>
      <pageMargins left="0.7" right="0.7" top="0.78740157499999996" bottom="0.78740157499999996" header="0.3" footer="0.3"/>
      <pageSetup paperSize="9" scale="90" orientation="portrait" r:id="rId1"/>
    </customSheetView>
  </customSheetViews>
  <conditionalFormatting sqref="D15">
    <cfRule type="expression" dxfId="62" priority="21">
      <formula>IF($D$11="Gaspool",1,0)</formula>
    </cfRule>
  </conditionalFormatting>
  <conditionalFormatting sqref="D16">
    <cfRule type="expression" dxfId="61" priority="18">
      <formula>IF($D$11="NCG",1,0)</formula>
    </cfRule>
  </conditionalFormatting>
  <conditionalFormatting sqref="D48:D62">
    <cfRule type="expression" dxfId="60" priority="17">
      <formula>IF(CELL("Zeile",D48)&lt;$D$46+CELL("Zeile",$D$48),1,0)</formula>
    </cfRule>
  </conditionalFormatting>
  <conditionalFormatting sqref="D49:D62">
    <cfRule type="expression" dxfId="59" priority="16">
      <formula>IF(CELL(D49)&lt;$D$36+27,1,0)</formula>
    </cfRule>
  </conditionalFormatting>
  <conditionalFormatting sqref="D23">
    <cfRule type="expression" dxfId="58" priority="15">
      <formula>IF($D$22=$H$22,1,0)</formula>
    </cfRule>
  </conditionalFormatting>
  <conditionalFormatting sqref="D31">
    <cfRule type="expression" dxfId="57" priority="4">
      <formula>IF($D$18="synthetisch",1,0)</formula>
    </cfRule>
  </conditionalFormatting>
  <conditionalFormatting sqref="D28">
    <cfRule type="expression" dxfId="56" priority="2">
      <formula>IF(AND($D$27=$I$27,$D$26=$H$26),1,0)</formula>
    </cfRule>
  </conditionalFormatting>
  <conditionalFormatting sqref="D26:D28">
    <cfRule type="expression" dxfId="55" priority="5">
      <formula>IF($D$18="analytisch",1,0)</formula>
    </cfRule>
  </conditionalFormatting>
  <conditionalFormatting sqref="D27">
    <cfRule type="expression" dxfId="54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$H$11:$J$11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71" orientation="portrait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BD78"/>
  <sheetViews>
    <sheetView showGridLines="0" topLeftCell="A19" zoomScale="70" zoomScaleNormal="70" workbookViewId="0">
      <selection activeCell="I34" sqref="I34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5" width="16.85546875" style="127" customWidth="1"/>
    <col min="6" max="8" width="12.7109375" style="127" customWidth="1"/>
    <col min="9" max="9" width="21.42578125" style="127" bestFit="1" customWidth="1"/>
    <col min="10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4" width="1" style="57" hidden="1"/>
  </cols>
  <sheetData>
    <row r="1" spans="2:56" ht="75" customHeight="1"/>
    <row r="2" spans="2:56" ht="23.25">
      <c r="B2" s="170" t="s">
        <v>538</v>
      </c>
    </row>
    <row r="3" spans="2:56" ht="15" customHeight="1">
      <c r="B3" s="170"/>
    </row>
    <row r="4" spans="2:56">
      <c r="B4" s="129"/>
      <c r="C4" s="56" t="s">
        <v>445</v>
      </c>
      <c r="D4" s="57"/>
      <c r="E4" s="329" t="str">
        <f>Netzbetreiber!D9</f>
        <v>bnNETZE GmbH</v>
      </c>
      <c r="F4" s="329"/>
      <c r="G4" s="3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bnNETZE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8" t="str">
        <f>Netzbetreiber!D11</f>
        <v>9800192200000</v>
      </c>
      <c r="F6" s="328"/>
      <c r="G6" s="328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42644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2</v>
      </c>
      <c r="H9" s="171" t="s">
        <v>595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579</v>
      </c>
      <c r="D10" s="129"/>
      <c r="E10" s="129"/>
      <c r="F10" s="49">
        <v>1</v>
      </c>
      <c r="G10" s="57"/>
      <c r="H10" s="171" t="s">
        <v>596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597</v>
      </c>
      <c r="D11" s="129"/>
      <c r="E11" s="129"/>
      <c r="F11" s="332" t="str">
        <f>INDEX('SLP-Verfahren'!D48:D62,'SLP-Temp-Gebiet#01'!F10)</f>
        <v>10802 March/Breisgau</v>
      </c>
      <c r="G11" s="332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62" t="s">
        <v>578</v>
      </c>
      <c r="D13" s="362"/>
      <c r="E13" s="362"/>
      <c r="F13" s="181" t="s">
        <v>542</v>
      </c>
      <c r="G13" s="129" t="s">
        <v>540</v>
      </c>
      <c r="H13" s="261" t="s">
        <v>557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63" t="s">
        <v>448</v>
      </c>
      <c r="D14" s="363"/>
      <c r="E14" s="89" t="s">
        <v>449</v>
      </c>
      <c r="F14" s="262" t="s">
        <v>85</v>
      </c>
      <c r="G14" s="263" t="s">
        <v>566</v>
      </c>
      <c r="H14" s="51">
        <v>0</v>
      </c>
      <c r="I14" s="57"/>
      <c r="J14" s="129"/>
      <c r="K14" s="129"/>
      <c r="L14" s="129"/>
      <c r="M14" s="129"/>
      <c r="N14" s="129"/>
      <c r="O14" s="331" t="s">
        <v>645</v>
      </c>
      <c r="R14" s="207" t="s">
        <v>558</v>
      </c>
      <c r="S14" s="207" t="s">
        <v>559</v>
      </c>
      <c r="T14" s="207" t="s">
        <v>560</v>
      </c>
      <c r="U14" s="207" t="s">
        <v>561</v>
      </c>
      <c r="V14" s="207" t="s">
        <v>541</v>
      </c>
      <c r="W14" s="207" t="s">
        <v>562</v>
      </c>
      <c r="X14" s="207" t="s">
        <v>563</v>
      </c>
      <c r="Y14" s="207" t="s">
        <v>564</v>
      </c>
      <c r="Z14" s="207" t="s">
        <v>565</v>
      </c>
      <c r="AA14" s="207" t="s">
        <v>566</v>
      </c>
      <c r="AB14" s="207" t="s">
        <v>567</v>
      </c>
      <c r="AC14" s="207" t="s">
        <v>568</v>
      </c>
    </row>
    <row r="15" spans="2:56" ht="19.5" customHeight="1">
      <c r="B15" s="129"/>
      <c r="C15" s="363" t="s">
        <v>387</v>
      </c>
      <c r="D15" s="363"/>
      <c r="E15" s="89" t="s">
        <v>449</v>
      </c>
      <c r="F15" s="262" t="s">
        <v>71</v>
      </c>
      <c r="G15" s="263" t="s">
        <v>560</v>
      </c>
      <c r="H15" s="51">
        <v>0</v>
      </c>
      <c r="I15" s="57"/>
      <c r="J15" s="129"/>
      <c r="K15" s="129"/>
      <c r="L15" s="129"/>
      <c r="M15" s="129"/>
      <c r="N15" s="129"/>
      <c r="O15" s="160" t="s">
        <v>500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543</v>
      </c>
      <c r="AJ15" s="260" t="s">
        <v>544</v>
      </c>
      <c r="AK15" s="260" t="s">
        <v>545</v>
      </c>
      <c r="AL15" s="260" t="s">
        <v>546</v>
      </c>
      <c r="AM15" s="260" t="s">
        <v>547</v>
      </c>
      <c r="AN15" s="260" t="s">
        <v>548</v>
      </c>
      <c r="AO15" s="260" t="s">
        <v>549</v>
      </c>
      <c r="AP15" s="260" t="s">
        <v>550</v>
      </c>
      <c r="AQ15" s="260" t="s">
        <v>551</v>
      </c>
      <c r="AR15" s="260" t="s">
        <v>552</v>
      </c>
      <c r="AS15" s="260" t="s">
        <v>553</v>
      </c>
      <c r="AT15" s="260" t="s">
        <v>554</v>
      </c>
      <c r="AU15" s="260" t="s">
        <v>555</v>
      </c>
      <c r="AV15" s="260" t="s">
        <v>556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531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500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664</v>
      </c>
      <c r="F24" s="155" t="s">
        <v>575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10802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5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1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0.41069999999999995</v>
      </c>
      <c r="F31" s="279">
        <f>ROUND(F32/$D$32,4)</f>
        <v>0.20530000000000001</v>
      </c>
      <c r="G31" s="279">
        <f t="shared" ref="G31:N31" si="3">ROUND(G32/$D$32,4)</f>
        <v>0.1027</v>
      </c>
      <c r="H31" s="279">
        <f t="shared" si="3"/>
        <v>5.1299999999999998E-2</v>
      </c>
      <c r="I31" s="279">
        <f t="shared" si="3"/>
        <v>0.23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527</v>
      </c>
      <c r="D32" s="285">
        <f>SUMPRODUCT(E32:N32,E29:N29)</f>
        <v>1.875</v>
      </c>
      <c r="E32" s="280">
        <v>0.77</v>
      </c>
      <c r="F32" s="280">
        <v>0.38500000000000001</v>
      </c>
      <c r="G32" s="280">
        <v>0.1925</v>
      </c>
      <c r="H32" s="280">
        <v>9.6250000000000002E-2</v>
      </c>
      <c r="I32" s="154">
        <v>0.43125000000000002</v>
      </c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9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9" t="s">
        <v>686</v>
      </c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  <c r="AC33" s="57" t="s">
        <v>681</v>
      </c>
    </row>
    <row r="34" spans="2:29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55" t="s">
        <v>508</v>
      </c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9">
      <c r="B35" s="181"/>
      <c r="C35" s="185" t="s">
        <v>599</v>
      </c>
      <c r="D35" s="152" t="s">
        <v>600</v>
      </c>
      <c r="E35" s="155" t="s">
        <v>601</v>
      </c>
      <c r="F35" s="155" t="s">
        <v>601</v>
      </c>
      <c r="G35" s="155" t="s">
        <v>601</v>
      </c>
      <c r="H35" s="155" t="s">
        <v>601</v>
      </c>
      <c r="I35" s="155" t="s">
        <v>601</v>
      </c>
      <c r="J35" s="155" t="s">
        <v>598</v>
      </c>
      <c r="K35" s="155" t="s">
        <v>598</v>
      </c>
      <c r="L35" s="155" t="s">
        <v>598</v>
      </c>
      <c r="M35" s="155" t="s">
        <v>598</v>
      </c>
      <c r="N35" s="155" t="s">
        <v>598</v>
      </c>
      <c r="O35" s="183" t="s">
        <v>142</v>
      </c>
      <c r="Q35" s="209"/>
      <c r="R35" s="67" t="s">
        <v>598</v>
      </c>
      <c r="S35" s="67" t="s">
        <v>601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9">
      <c r="B36" s="181"/>
      <c r="C36" s="190" t="s">
        <v>443</v>
      </c>
      <c r="D36" s="118" t="s">
        <v>532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 t="s">
        <v>680</v>
      </c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 t="s">
        <v>680</v>
      </c>
      <c r="U36" s="67"/>
      <c r="V36" s="67"/>
      <c r="W36" s="67"/>
      <c r="X36" s="67"/>
      <c r="Y36" s="67"/>
      <c r="Z36" s="67"/>
      <c r="AA36" s="67"/>
      <c r="AB36" s="67"/>
    </row>
    <row r="37" spans="2:29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9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9" ht="18">
      <c r="B39" s="191"/>
      <c r="C39" s="195" t="s">
        <v>349</v>
      </c>
      <c r="D39" s="196"/>
      <c r="E39" s="196" t="s">
        <v>525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9">
      <c r="B40" s="191"/>
      <c r="C40" s="195"/>
      <c r="D40" s="196"/>
      <c r="E40" s="196" t="s">
        <v>526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9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9">
      <c r="B42" s="191"/>
      <c r="C42" s="198"/>
      <c r="D42" s="196"/>
      <c r="E42" s="196" t="s">
        <v>523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9">
      <c r="B43" s="191"/>
      <c r="C43" s="198"/>
      <c r="D43" s="196"/>
      <c r="E43" s="196" t="s">
        <v>524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9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9">
      <c r="B45" s="191"/>
      <c r="C45" s="195" t="s">
        <v>529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9">
      <c r="B46" s="191"/>
      <c r="C46" s="198" t="s">
        <v>530</v>
      </c>
      <c r="D46" s="199" t="s">
        <v>528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9">
      <c r="B47" s="191"/>
      <c r="C47" s="198" t="s">
        <v>348</v>
      </c>
      <c r="D47" s="199" t="s">
        <v>528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9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573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537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531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March/Breisgau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10802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v>1</v>
      </c>
    </row>
    <row r="63" spans="2:28" ht="15" customHeight="1">
      <c r="E63" s="176">
        <f>IF(E64&gt;$F$62,0,1)</f>
        <v>1</v>
      </c>
      <c r="F63" s="176">
        <f t="shared" ref="F63:N63" si="11">IF(F64&gt;$F$62,0,1)</f>
        <v>0</v>
      </c>
      <c r="G63" s="176">
        <f t="shared" si="11"/>
        <v>0</v>
      </c>
      <c r="H63" s="176">
        <f t="shared" si="11"/>
        <v>0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1</v>
      </c>
      <c r="F65" s="279">
        <f>ROUND(F66/$D$66,4)</f>
        <v>0.38500000000000001</v>
      </c>
      <c r="G65" s="279">
        <f t="shared" ref="G65:N65" si="12">ROUND(G66/$D$66,4)</f>
        <v>0.1925</v>
      </c>
      <c r="H65" s="279">
        <f t="shared" si="12"/>
        <v>9.6299999999999997E-2</v>
      </c>
      <c r="I65" s="279">
        <f t="shared" si="12"/>
        <v>0.43130000000000002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527</v>
      </c>
      <c r="D66" s="184">
        <f>SUMPRODUCT(E66:N66,E63:N63)</f>
        <v>1</v>
      </c>
      <c r="E66" s="287">
        <f>E22</f>
        <v>1</v>
      </c>
      <c r="F66" s="287">
        <f t="shared" ref="F66:N66" si="13">F32</f>
        <v>0.38500000000000001</v>
      </c>
      <c r="G66" s="287">
        <f t="shared" si="13"/>
        <v>0.1925</v>
      </c>
      <c r="H66" s="287">
        <f t="shared" si="13"/>
        <v>9.6250000000000002E-2</v>
      </c>
      <c r="I66" s="287">
        <f t="shared" si="13"/>
        <v>0.43125000000000002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 t="str">
        <f t="shared" si="14"/>
        <v>2009 - 2019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 t="str">
        <f t="shared" si="15"/>
        <v>Gastag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599</v>
      </c>
      <c r="D69" s="152" t="s">
        <v>600</v>
      </c>
      <c r="E69" s="158" t="str">
        <f>E35</f>
        <v>UCT</v>
      </c>
      <c r="F69" s="158" t="str">
        <f t="shared" ref="F69:N69" si="16">F35</f>
        <v>UCT</v>
      </c>
      <c r="G69" s="158" t="str">
        <f t="shared" si="16"/>
        <v>UCT</v>
      </c>
      <c r="H69" s="158" t="str">
        <f t="shared" si="16"/>
        <v>UCT</v>
      </c>
      <c r="I69" s="161" t="str">
        <f t="shared" si="16"/>
        <v>UCT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532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 t="str">
        <f t="shared" si="17"/>
        <v>Temp. hist. Ø (Monat)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64" t="s">
        <v>574</v>
      </c>
      <c r="D72" s="364"/>
      <c r="E72" s="364"/>
      <c r="F72" s="364"/>
    </row>
    <row r="73" spans="2:15"/>
    <row r="78" spans="2:15"/>
  </sheetData>
  <customSheetViews>
    <customSheetView guid="{2AD71B1A-5547-4554-B6E7-4BAB59EA70EB}" scale="70" showGridLines="0" fitToPage="1" hiddenRows="1" hiddenColumns="1" topLeftCell="A13">
      <selection activeCell="I33" sqref="I33"/>
      <pageMargins left="0.25" right="0.25" top="0.75" bottom="0.75" header="0.3" footer="0.3"/>
      <pageSetup paperSize="9" scale="43" orientation="landscape" r:id="rId1"/>
    </customSheetView>
  </customSheetViews>
  <mergeCells count="4">
    <mergeCell ref="C13:E13"/>
    <mergeCell ref="C14:D14"/>
    <mergeCell ref="C15:D15"/>
    <mergeCell ref="C72:F72"/>
  </mergeCells>
  <conditionalFormatting sqref="E22:N25">
    <cfRule type="expression" dxfId="52" priority="33">
      <formula>IF(E$20&lt;=$F$18,1,0)</formula>
    </cfRule>
  </conditionalFormatting>
  <conditionalFormatting sqref="E33:H36 J32:N36">
    <cfRule type="expression" dxfId="51" priority="32">
      <formula>IF(E$30&lt;=$F$28,1,0)</formula>
    </cfRule>
  </conditionalFormatting>
  <conditionalFormatting sqref="E26:F26">
    <cfRule type="expression" dxfId="50" priority="31">
      <formula>IF(E$20&lt;=$F$18,1,0)</formula>
    </cfRule>
  </conditionalFormatting>
  <conditionalFormatting sqref="E26:N26">
    <cfRule type="expression" dxfId="49" priority="30">
      <formula>IF(E$20&lt;=$F$18,1,0)</formula>
    </cfRule>
  </conditionalFormatting>
  <conditionalFormatting sqref="E56:N59">
    <cfRule type="expression" dxfId="48" priority="27">
      <formula>IF(E$54&lt;=$F$52,1,0)</formula>
    </cfRule>
  </conditionalFormatting>
  <conditionalFormatting sqref="E60:N60">
    <cfRule type="expression" dxfId="47" priority="26">
      <formula>IF(E$54&lt;=$F$52,1,0)</formula>
    </cfRule>
  </conditionalFormatting>
  <conditionalFormatting sqref="E66:N68">
    <cfRule type="expression" dxfId="46" priority="20">
      <formula>IF(E$64&lt;=$F$62,1,0)</formula>
    </cfRule>
  </conditionalFormatting>
  <conditionalFormatting sqref="E65:N68 E70:N70">
    <cfRule type="expression" dxfId="45" priority="18">
      <formula>IF(E$64&gt;$F$62,1,0)</formula>
    </cfRule>
  </conditionalFormatting>
  <conditionalFormatting sqref="E56:N60">
    <cfRule type="expression" dxfId="44" priority="17">
      <formula>IF(E$54&gt;$F$52,1,0)</formula>
    </cfRule>
  </conditionalFormatting>
  <conditionalFormatting sqref="E21:N26">
    <cfRule type="expression" dxfId="43" priority="16">
      <formula>IF(E$20&gt;$F$18,1,0)</formula>
    </cfRule>
  </conditionalFormatting>
  <conditionalFormatting sqref="E33:H36 J32:N36">
    <cfRule type="expression" dxfId="42" priority="15">
      <formula>IF(E$30&gt;$F$28,1,0)</formula>
    </cfRule>
  </conditionalFormatting>
  <conditionalFormatting sqref="H11 H8:H9">
    <cfRule type="expression" dxfId="41" priority="14">
      <formula>IF($F$9=1,1,0)</formula>
    </cfRule>
  </conditionalFormatting>
  <conditionalFormatting sqref="E55:N55">
    <cfRule type="expression" dxfId="40" priority="13">
      <formula>IF(E$54&gt;$F$52,1,0)</formula>
    </cfRule>
  </conditionalFormatting>
  <conditionalFormatting sqref="E31:H31 J31:N31">
    <cfRule type="expression" dxfId="39" priority="12">
      <formula>IF(E$30&gt;$F$28,1,0)</formula>
    </cfRule>
  </conditionalFormatting>
  <conditionalFormatting sqref="E70:N70">
    <cfRule type="expression" dxfId="38" priority="11">
      <formula>IF(E$64&lt;=$F$62,1,0)</formula>
    </cfRule>
  </conditionalFormatting>
  <conditionalFormatting sqref="H10">
    <cfRule type="expression" dxfId="37" priority="10">
      <formula>IF($F$9=1,1,0)</formula>
    </cfRule>
  </conditionalFormatting>
  <conditionalFormatting sqref="E69:N69">
    <cfRule type="expression" dxfId="36" priority="7">
      <formula>IF(E$64&lt;=$F$62,1,0)</formula>
    </cfRule>
  </conditionalFormatting>
  <conditionalFormatting sqref="E69:N69">
    <cfRule type="expression" dxfId="35" priority="6">
      <formula>IF(E$64&gt;$F$62,1,0)</formula>
    </cfRule>
  </conditionalFormatting>
  <conditionalFormatting sqref="I33:I36">
    <cfRule type="expression" dxfId="34" priority="5">
      <formula>IF(I$30&lt;=$F$28,1,0)</formula>
    </cfRule>
  </conditionalFormatting>
  <conditionalFormatting sqref="I33:I36">
    <cfRule type="expression" dxfId="33" priority="4">
      <formula>IF(I$30&gt;$F$28,1,0)</formula>
    </cfRule>
  </conditionalFormatting>
  <conditionalFormatting sqref="I31">
    <cfRule type="expression" dxfId="32" priority="3">
      <formula>IF(I$30&gt;$F$28,1,0)</formula>
    </cfRule>
  </conditionalFormatting>
  <conditionalFormatting sqref="E32:I32">
    <cfRule type="expression" dxfId="31" priority="2">
      <formula>IF(E$30&lt;=$F$28,1,0)</formula>
    </cfRule>
  </conditionalFormatting>
  <conditionalFormatting sqref="E32:I32">
    <cfRule type="expression" dxfId="30" priority="1">
      <formula>IF(E$30&gt;$F$28,1,0)</formula>
    </cfRule>
  </conditionalFormatting>
  <dataValidations count="15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70:N70 E36:H36 J36:N36" xr:uid="{00000000-0002-0000-0300-000001000000}">
      <formula1>$R$36:$S$36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E67:N67 E33:H33 J33:N33" xr:uid="{00000000-0002-0000-0300-000003000000}">
      <formula1>$R$33:$AB$33</formula1>
    </dataValidation>
    <dataValidation type="list" allowBlank="1" showInputMessage="1" showErrorMessage="1" sqref="E34:N34 E68:N68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  <dataValidation type="list" allowBlank="1" showInputMessage="1" showErrorMessage="1" sqref="I36" xr:uid="{00000000-0002-0000-0300-00000D000000}">
      <formula1>$R$36:$T$36</formula1>
    </dataValidation>
    <dataValidation type="list" errorStyle="warning" allowBlank="1" showInputMessage="1" showErrorMessage="1" errorTitle="Prognosezeitraum" error="Werte zwischen 0 - 240h" sqref="I33" xr:uid="{00000000-0002-0000-0300-00000E000000}">
      <formula1>$R$33:$AC$33</formula1>
    </dataValidation>
  </dataValidations>
  <pageMargins left="0.25" right="0.25" top="0.75" bottom="0.75" header="0.3" footer="0.3"/>
  <pageSetup paperSize="9" scale="43" orientation="landscape" r:id="rId2"/>
  <ignoredErrors>
    <ignoredError sqref="E67:N68 E36:H36 E26:N26 E56:N60 E22:F22 I22:N22 F52 G24:N24 G70:N70 J32:N32 E69:N69 F25:N25 J36:N36 E34:H34 E33:H33 J33:N33 J34:N34 F66:N66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F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0">
    <tabColor rgb="FFFF0000"/>
    <pageSetUpPr fitToPage="1"/>
  </sheetPr>
  <dimension ref="A1:BD78"/>
  <sheetViews>
    <sheetView showGridLines="0" topLeftCell="A7" zoomScale="70" zoomScaleNormal="70" workbookViewId="0">
      <selection activeCell="I35" sqref="I3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8" width="12.7109375" style="127" customWidth="1"/>
    <col min="9" max="9" width="21.42578125" style="127" bestFit="1" customWidth="1"/>
    <col min="10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4" width="1" style="57" hidden="1"/>
  </cols>
  <sheetData>
    <row r="1" spans="2:56" ht="75" customHeight="1"/>
    <row r="2" spans="2:56" ht="23.25">
      <c r="B2" s="170" t="s">
        <v>538</v>
      </c>
    </row>
    <row r="3" spans="2:56" ht="15" customHeight="1">
      <c r="B3" s="170"/>
    </row>
    <row r="4" spans="2:56">
      <c r="B4" s="129"/>
      <c r="C4" s="56" t="s">
        <v>445</v>
      </c>
      <c r="D4" s="57"/>
      <c r="E4" s="329" t="str">
        <f>Netzbetreiber!D9</f>
        <v>bnNETZE GmbH</v>
      </c>
      <c r="F4" s="329"/>
      <c r="G4" s="3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bnNETZE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8" t="str">
        <f>Netzbetreiber!D11</f>
        <v>9800192200000</v>
      </c>
      <c r="F6" s="328"/>
      <c r="G6" s="328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42644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2</v>
      </c>
      <c r="H9" s="171" t="s">
        <v>595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579</v>
      </c>
      <c r="D10" s="129"/>
      <c r="E10" s="129"/>
      <c r="F10" s="49">
        <v>1</v>
      </c>
      <c r="G10" s="57"/>
      <c r="H10" s="171" t="s">
        <v>596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597</v>
      </c>
      <c r="D11" s="129"/>
      <c r="E11" s="129"/>
      <c r="F11" s="332" t="str">
        <f>INDEX('SLP-Verfahren'!D48:D62,'SLP-Temp-Gebiet#02'!F10)</f>
        <v>10802 March/Breisgau</v>
      </c>
      <c r="G11" s="332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62" t="s">
        <v>578</v>
      </c>
      <c r="D13" s="362"/>
      <c r="E13" s="362"/>
      <c r="F13" s="181" t="s">
        <v>542</v>
      </c>
      <c r="G13" s="129" t="s">
        <v>540</v>
      </c>
      <c r="H13" s="261" t="s">
        <v>557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63" t="s">
        <v>448</v>
      </c>
      <c r="D14" s="363"/>
      <c r="E14" s="89" t="s">
        <v>449</v>
      </c>
      <c r="F14" s="262" t="s">
        <v>85</v>
      </c>
      <c r="G14" s="263" t="s">
        <v>566</v>
      </c>
      <c r="H14" s="51">
        <v>0</v>
      </c>
      <c r="I14" s="57"/>
      <c r="J14" s="129"/>
      <c r="K14" s="129"/>
      <c r="L14" s="129"/>
      <c r="M14" s="129"/>
      <c r="N14" s="129"/>
      <c r="O14" s="331" t="s">
        <v>645</v>
      </c>
      <c r="R14" s="207" t="s">
        <v>558</v>
      </c>
      <c r="S14" s="207" t="s">
        <v>559</v>
      </c>
      <c r="T14" s="207" t="s">
        <v>560</v>
      </c>
      <c r="U14" s="207" t="s">
        <v>561</v>
      </c>
      <c r="V14" s="207" t="s">
        <v>541</v>
      </c>
      <c r="W14" s="207" t="s">
        <v>562</v>
      </c>
      <c r="X14" s="207" t="s">
        <v>563</v>
      </c>
      <c r="Y14" s="207" t="s">
        <v>564</v>
      </c>
      <c r="Z14" s="207" t="s">
        <v>565</v>
      </c>
      <c r="AA14" s="207" t="s">
        <v>566</v>
      </c>
      <c r="AB14" s="207" t="s">
        <v>567</v>
      </c>
      <c r="AC14" s="207" t="s">
        <v>568</v>
      </c>
    </row>
    <row r="15" spans="2:56" ht="19.5" customHeight="1">
      <c r="B15" s="129"/>
      <c r="C15" s="363" t="s">
        <v>387</v>
      </c>
      <c r="D15" s="363"/>
      <c r="E15" s="89" t="s">
        <v>449</v>
      </c>
      <c r="F15" s="262" t="s">
        <v>71</v>
      </c>
      <c r="G15" s="263" t="s">
        <v>560</v>
      </c>
      <c r="H15" s="51">
        <v>0</v>
      </c>
      <c r="I15" s="57"/>
      <c r="J15" s="129"/>
      <c r="K15" s="129"/>
      <c r="L15" s="129"/>
      <c r="M15" s="129"/>
      <c r="N15" s="129"/>
      <c r="O15" s="160" t="s">
        <v>500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543</v>
      </c>
      <c r="AJ15" s="260" t="s">
        <v>544</v>
      </c>
      <c r="AK15" s="260" t="s">
        <v>545</v>
      </c>
      <c r="AL15" s="260" t="s">
        <v>546</v>
      </c>
      <c r="AM15" s="260" t="s">
        <v>547</v>
      </c>
      <c r="AN15" s="260" t="s">
        <v>548</v>
      </c>
      <c r="AO15" s="260" t="s">
        <v>549</v>
      </c>
      <c r="AP15" s="260" t="s">
        <v>550</v>
      </c>
      <c r="AQ15" s="260" t="s">
        <v>551</v>
      </c>
      <c r="AR15" s="260" t="s">
        <v>552</v>
      </c>
      <c r="AS15" s="260" t="s">
        <v>553</v>
      </c>
      <c r="AT15" s="260" t="s">
        <v>554</v>
      </c>
      <c r="AU15" s="260" t="s">
        <v>555</v>
      </c>
      <c r="AV15" s="260" t="s">
        <v>556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341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341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531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500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MeteoGroup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665</v>
      </c>
      <c r="F24" s="155" t="s">
        <v>575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10923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5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1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0.41069999999999995</v>
      </c>
      <c r="F31" s="279">
        <f>ROUND(F32/$D$32,4)</f>
        <v>0.20530000000000001</v>
      </c>
      <c r="G31" s="279">
        <f t="shared" ref="G31:N31" si="3">ROUND(G32/$D$32,4)</f>
        <v>0.1027</v>
      </c>
      <c r="H31" s="279">
        <f t="shared" si="3"/>
        <v>5.1299999999999998E-2</v>
      </c>
      <c r="I31" s="279">
        <f t="shared" si="3"/>
        <v>0.23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527</v>
      </c>
      <c r="D32" s="285">
        <f>SUMPRODUCT(E32:N32,E29:N29)</f>
        <v>1.875</v>
      </c>
      <c r="E32" s="280">
        <v>0.77</v>
      </c>
      <c r="F32" s="280">
        <v>0.38500000000000001</v>
      </c>
      <c r="G32" s="280">
        <v>0.1925</v>
      </c>
      <c r="H32" s="280">
        <v>9.6250000000000002E-2</v>
      </c>
      <c r="I32" s="154">
        <v>0.43125000000000002</v>
      </c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9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 t="s">
        <v>686</v>
      </c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  <c r="AC33" s="57" t="s">
        <v>681</v>
      </c>
    </row>
    <row r="34" spans="2:29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 t="s">
        <v>508</v>
      </c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9">
      <c r="B35" s="181"/>
      <c r="C35" s="185" t="s">
        <v>599</v>
      </c>
      <c r="D35" s="152" t="s">
        <v>600</v>
      </c>
      <c r="E35" s="155" t="s">
        <v>601</v>
      </c>
      <c r="F35" s="155" t="s">
        <v>601</v>
      </c>
      <c r="G35" s="155" t="s">
        <v>601</v>
      </c>
      <c r="H35" s="155" t="s">
        <v>601</v>
      </c>
      <c r="I35" s="155" t="s">
        <v>601</v>
      </c>
      <c r="J35" s="155" t="s">
        <v>598</v>
      </c>
      <c r="K35" s="155" t="s">
        <v>598</v>
      </c>
      <c r="L35" s="155" t="s">
        <v>598</v>
      </c>
      <c r="M35" s="155" t="s">
        <v>598</v>
      </c>
      <c r="N35" s="155" t="s">
        <v>598</v>
      </c>
      <c r="O35" s="183" t="s">
        <v>142</v>
      </c>
      <c r="Q35" s="209"/>
      <c r="R35" s="67" t="s">
        <v>598</v>
      </c>
      <c r="S35" s="67" t="s">
        <v>601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9">
      <c r="B36" s="181"/>
      <c r="C36" s="190" t="s">
        <v>443</v>
      </c>
      <c r="D36" s="118" t="s">
        <v>532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 t="s">
        <v>680</v>
      </c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 t="s">
        <v>680</v>
      </c>
      <c r="U36" s="67"/>
      <c r="V36" s="67"/>
      <c r="W36" s="67"/>
      <c r="X36" s="67"/>
      <c r="Y36" s="67"/>
      <c r="Z36" s="67"/>
      <c r="AA36" s="67"/>
      <c r="AB36" s="67"/>
    </row>
    <row r="37" spans="2:29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9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9" ht="18">
      <c r="B39" s="191"/>
      <c r="C39" s="195" t="s">
        <v>349</v>
      </c>
      <c r="D39" s="196"/>
      <c r="E39" s="196" t="s">
        <v>525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9">
      <c r="B40" s="191"/>
      <c r="C40" s="195"/>
      <c r="D40" s="196"/>
      <c r="E40" s="196" t="s">
        <v>526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9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9">
      <c r="B42" s="191"/>
      <c r="C42" s="198"/>
      <c r="D42" s="196"/>
      <c r="E42" s="196" t="s">
        <v>523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9">
      <c r="B43" s="191"/>
      <c r="C43" s="198"/>
      <c r="D43" s="196"/>
      <c r="E43" s="196" t="s">
        <v>524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9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9">
      <c r="B45" s="191"/>
      <c r="C45" s="195" t="s">
        <v>529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9">
      <c r="B46" s="191"/>
      <c r="C46" s="198" t="s">
        <v>530</v>
      </c>
      <c r="D46" s="199" t="s">
        <v>528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9">
      <c r="B47" s="191"/>
      <c r="C47" s="198" t="s">
        <v>348</v>
      </c>
      <c r="D47" s="199" t="s">
        <v>528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9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573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537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531</v>
      </c>
      <c r="D56" s="184">
        <f>SUMPRODUCT(E56:N56,E53:N53)</f>
        <v>1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Tuttlingen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10923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v>1</v>
      </c>
    </row>
    <row r="63" spans="2:28" ht="15" customHeight="1">
      <c r="E63" s="176">
        <f>IF(E64&gt;$F$62,0,1)</f>
        <v>1</v>
      </c>
      <c r="F63" s="176">
        <f t="shared" ref="F63:N63" si="7">IF(F64&gt;$F$62,0,1)</f>
        <v>0</v>
      </c>
      <c r="G63" s="176">
        <f t="shared" si="7"/>
        <v>0</v>
      </c>
      <c r="H63" s="176">
        <f t="shared" si="7"/>
        <v>0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1</v>
      </c>
      <c r="F65" s="279">
        <f>ROUND(F66/$D$66,4)</f>
        <v>0.38500000000000001</v>
      </c>
      <c r="G65" s="279">
        <f t="shared" ref="G65:N65" si="8">ROUND(G66/$D$66,4)</f>
        <v>0.1925</v>
      </c>
      <c r="H65" s="279">
        <f t="shared" si="8"/>
        <v>9.6299999999999997E-2</v>
      </c>
      <c r="I65" s="279">
        <f t="shared" si="8"/>
        <v>0.43130000000000002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527</v>
      </c>
      <c r="D66" s="184">
        <f>SUMPRODUCT(E66:N66,E63:N63)</f>
        <v>1</v>
      </c>
      <c r="E66" s="287">
        <f>E22</f>
        <v>1</v>
      </c>
      <c r="F66" s="287">
        <f t="shared" ref="F66:N70" si="9">F32</f>
        <v>0.38500000000000001</v>
      </c>
      <c r="G66" s="287">
        <f t="shared" si="9"/>
        <v>0.1925</v>
      </c>
      <c r="H66" s="287">
        <f t="shared" si="9"/>
        <v>9.6250000000000002E-2</v>
      </c>
      <c r="I66" s="287">
        <f t="shared" si="9"/>
        <v>0.43125000000000002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">
        <v>3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 t="str">
        <f t="shared" si="9"/>
        <v>2009 - 2019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 t="str">
        <f t="shared" si="9"/>
        <v>Gastag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599</v>
      </c>
      <c r="D69" s="152" t="s">
        <v>600</v>
      </c>
      <c r="E69" s="158" t="str">
        <f>E35</f>
        <v>UCT</v>
      </c>
      <c r="F69" s="158" t="str">
        <f t="shared" si="9"/>
        <v>UCT</v>
      </c>
      <c r="G69" s="158" t="str">
        <f t="shared" si="9"/>
        <v>UCT</v>
      </c>
      <c r="H69" s="158" t="str">
        <f t="shared" si="9"/>
        <v>UCT</v>
      </c>
      <c r="I69" s="161" t="str">
        <f t="shared" si="9"/>
        <v>UCT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532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 t="str">
        <f t="shared" si="9"/>
        <v>Temp. hist. Ø (Monat)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64" t="s">
        <v>574</v>
      </c>
      <c r="D72" s="364"/>
      <c r="E72" s="364"/>
      <c r="F72" s="364"/>
    </row>
    <row r="73" spans="2:15"/>
    <row r="78" spans="2:15"/>
  </sheetData>
  <customSheetViews>
    <customSheetView guid="{2AD71B1A-5547-4554-B6E7-4BAB59EA70EB}" scale="70" showGridLines="0" fitToPage="1" hiddenRows="1" hiddenColumns="1">
      <selection activeCell="I33" sqref="I33"/>
      <pageMargins left="0.25" right="0.25" top="0.75" bottom="0.75" header="0.3" footer="0.3"/>
      <pageSetup paperSize="9" scale="43" orientation="landscape" r:id="rId1"/>
    </customSheetView>
  </customSheetViews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5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67:N67 E33:H33 J33:N33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70:N70 E36:H36 J36:N36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  <dataValidation type="list" errorStyle="warning" allowBlank="1" showInputMessage="1" showErrorMessage="1" errorTitle="Prognosezeitraum" error="Werte zwischen 0 - 240h" sqref="I33" xr:uid="{00000000-0002-0000-0400-00000D000000}">
      <formula1>$R$33:$AC$33</formula1>
    </dataValidation>
    <dataValidation type="list" allowBlank="1" showInputMessage="1" showErrorMessage="1" sqref="I36" xr:uid="{00000000-0002-0000-0400-00000E000000}">
      <formula1>$R$36:$T$36</formula1>
    </dataValidation>
  </dataValidations>
  <pageMargins left="0.25" right="0.25" top="0.75" bottom="0.75" header="0.3" footer="0.3"/>
  <pageSetup paperSize="9" scale="43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F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topLeftCell="B1" zoomScale="80" zoomScaleNormal="80" workbookViewId="0">
      <selection activeCell="B25" sqref="A25:XFD41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bnNETZE GmbH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bnNETZE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9800192200000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42644</v>
      </c>
      <c r="E8" s="129"/>
      <c r="F8" s="129"/>
      <c r="H8" s="127" t="s">
        <v>494</v>
      </c>
      <c r="J8" s="131">
        <f>COUNTA(D12:D100)</f>
        <v>13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629</v>
      </c>
      <c r="M10" s="149" t="s">
        <v>638</v>
      </c>
      <c r="N10" s="150" t="s">
        <v>639</v>
      </c>
      <c r="O10" s="150" t="s">
        <v>640</v>
      </c>
      <c r="P10" s="151" t="s">
        <v>641</v>
      </c>
      <c r="Q10" s="145" t="s">
        <v>630</v>
      </c>
      <c r="R10" s="135" t="s">
        <v>631</v>
      </c>
      <c r="S10" s="136" t="s">
        <v>632</v>
      </c>
      <c r="T10" s="136" t="s">
        <v>633</v>
      </c>
      <c r="U10" s="136" t="s">
        <v>634</v>
      </c>
      <c r="V10" s="136" t="s">
        <v>635</v>
      </c>
      <c r="W10" s="136" t="s">
        <v>636</v>
      </c>
      <c r="X10" s="137" t="s">
        <v>637</v>
      </c>
      <c r="Y10" s="293" t="s">
        <v>642</v>
      </c>
    </row>
    <row r="11" spans="2:26" ht="15.75" thickBot="1">
      <c r="B11" s="138" t="s">
        <v>495</v>
      </c>
      <c r="C11" s="139" t="s">
        <v>506</v>
      </c>
      <c r="D11" s="292" t="s">
        <v>247</v>
      </c>
      <c r="E11" s="163" t="s">
        <v>577</v>
      </c>
      <c r="F11" s="294" t="str">
        <f>VLOOKUP($E11,'BDEW-Standard'!$B$3:$M$158,F$9,0)</f>
        <v>D23</v>
      </c>
      <c r="H11" s="166">
        <f>ROUND(VLOOKUP($E11,'BDEW-Standard'!$B$3:$M$158,H$9,0),7)</f>
        <v>2.3877617999999998</v>
      </c>
      <c r="I11" s="166">
        <f>ROUND(VLOOKUP($E11,'BDEW-Standard'!$B$3:$M$158,I$9,0),7)</f>
        <v>-34.721360500000003</v>
      </c>
      <c r="J11" s="166">
        <f>ROUND(VLOOKUP($E11,'BDEW-Standard'!$B$3:$M$158,J$9,0),7)</f>
        <v>5.8164303999999998</v>
      </c>
      <c r="K11" s="166">
        <f>ROUND(VLOOKUP($E11,'BDEW-Standard'!$B$3:$M$158,K$9,0),7)</f>
        <v>0.12081939999999999</v>
      </c>
      <c r="L11" s="334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5">
        <f>($H11/(1+($I11/($Q$9-$L11))^$J11)+$K11)+MAX($M11*$Q$9+$N11,$O11*$Q$9+$P11)</f>
        <v>1.0365184142102302</v>
      </c>
      <c r="R11" s="167">
        <f>ROUND(VLOOKUP(MID($E11,4,3),'Wochentag F(WT)'!$B$7:$J$22,R$9,0),4)</f>
        <v>1</v>
      </c>
      <c r="S11" s="167">
        <f>ROUND(VLOOKUP(MID($E11,4,3),'Wochentag F(WT)'!$B$7:$J$22,S$9,0),4)</f>
        <v>1</v>
      </c>
      <c r="T11" s="167">
        <f>ROUND(VLOOKUP(MID($E11,4,3),'Wochentag F(WT)'!$B$7:$J$22,T$9,0),4)</f>
        <v>1</v>
      </c>
      <c r="U11" s="167">
        <f>ROUND(VLOOKUP(MID($E11,4,3),'Wochentag F(WT)'!$B$7:$J$22,U$9,0),4)</f>
        <v>1</v>
      </c>
      <c r="V11" s="167">
        <f>ROUND(VLOOKUP(MID($E11,4,3),'Wochentag F(WT)'!$B$7:$J$22,V$9,0),4)</f>
        <v>1</v>
      </c>
      <c r="W11" s="167">
        <f>ROUND(VLOOKUP(MID($E11,4,3),'Wochentag F(WT)'!$B$7:$J$22,W$9,0),4)</f>
        <v>1</v>
      </c>
      <c r="X11" s="168">
        <f>7-SUM(R11:W11)</f>
        <v>1</v>
      </c>
      <c r="Y11" s="290">
        <v>365.12299999999999</v>
      </c>
    </row>
    <row r="12" spans="2:26">
      <c r="B12" s="140">
        <v>1</v>
      </c>
      <c r="C12" s="141" t="str">
        <f t="shared" ref="C12:C24" si="0">$D$6</f>
        <v>bnNETZE</v>
      </c>
      <c r="D12" s="62" t="s">
        <v>247</v>
      </c>
      <c r="E12" s="164" t="s">
        <v>668</v>
      </c>
      <c r="F12" s="295" t="str">
        <f>VLOOKUP($E12,'BDEW-Standard'!$B$3:$M$158,F$9,0)</f>
        <v>1D3</v>
      </c>
      <c r="H12" s="273">
        <f>ROUND(VLOOKUP($E12,'BDEW-Standard'!$B$3:$M$158,H$9,0),7)</f>
        <v>1.6209544</v>
      </c>
      <c r="I12" s="273">
        <f>ROUND(VLOOKUP($E12,'BDEW-Standard'!$B$3:$M$158,I$9,0),7)</f>
        <v>-37.183314099999997</v>
      </c>
      <c r="J12" s="273">
        <f>ROUND(VLOOKUP($E12,'BDEW-Standard'!$B$3:$M$158,J$9,0),7)</f>
        <v>5.6727847000000002</v>
      </c>
      <c r="K12" s="273">
        <f>ROUND(VLOOKUP($E12,'BDEW-Standard'!$B$3:$M$158,K$9,0),7)</f>
        <v>7.1643100000000001E-2</v>
      </c>
      <c r="L12" s="336">
        <f>ROUND(VLOOKUP($E12,'BDEW-Standard'!$B$3:$M$158,L$9,0),1)</f>
        <v>40</v>
      </c>
      <c r="M12" s="273">
        <f>ROUND(VLOOKUP($E12,'BDEW-Standard'!$B$3:$M$158,M$9,0),7)</f>
        <v>-4.9570000000000003E-2</v>
      </c>
      <c r="N12" s="273">
        <f>ROUND(VLOOKUP($E12,'BDEW-Standard'!$B$3:$M$158,N$9,0),7)</f>
        <v>0.84010149999999995</v>
      </c>
      <c r="O12" s="273">
        <f>ROUND(VLOOKUP($E12,'BDEW-Standard'!$B$3:$M$158,O$9,0),7)</f>
        <v>-2.209E-3</v>
      </c>
      <c r="P12" s="273">
        <f>ROUND(VLOOKUP($E12,'BDEW-Standard'!$B$3:$M$158,P$9,0),7)</f>
        <v>0.1074468</v>
      </c>
      <c r="Q12" s="337">
        <f t="shared" ref="Q12:Q24" si="1">($H12/(1+($I12/($Q$9-$L12))^$J12)+$K12)+MAX($M12*$Q$9+$N12,$O12*$Q$9+$P12)</f>
        <v>1.0000001417752751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1">
        <v>350</v>
      </c>
      <c r="Z12" s="210"/>
    </row>
    <row r="13" spans="2:26" s="142" customFormat="1">
      <c r="B13" s="143">
        <v>2</v>
      </c>
      <c r="C13" s="144" t="str">
        <f t="shared" si="0"/>
        <v>bnNETZE</v>
      </c>
      <c r="D13" s="62" t="s">
        <v>247</v>
      </c>
      <c r="E13" s="164" t="s">
        <v>669</v>
      </c>
      <c r="F13" s="295" t="str">
        <f>VLOOKUP($E13,'BDEW-Standard'!$B$3:$M$158,F$9,0)</f>
        <v>2D3</v>
      </c>
      <c r="H13" s="273">
        <f>ROUND(VLOOKUP($E13,'BDEW-Standard'!$B$3:$M$158,H$9,0),7)</f>
        <v>1.2328654999999999</v>
      </c>
      <c r="I13" s="273">
        <f>ROUND(VLOOKUP($E13,'BDEW-Standard'!$B$3:$M$158,I$9,0),7)</f>
        <v>-34.721360500000003</v>
      </c>
      <c r="J13" s="273">
        <f>ROUND(VLOOKUP($E13,'BDEW-Standard'!$B$3:$M$158,J$9,0),7)</f>
        <v>5.8164303999999998</v>
      </c>
      <c r="K13" s="273">
        <f>ROUND(VLOOKUP($E13,'BDEW-Standard'!$B$3:$M$158,K$9,0),7)</f>
        <v>8.7335200000000002E-2</v>
      </c>
      <c r="L13" s="336">
        <f>ROUND(VLOOKUP($E13,'BDEW-Standard'!$B$3:$M$158,L$9,0),1)</f>
        <v>40</v>
      </c>
      <c r="M13" s="273">
        <f>ROUND(VLOOKUP($E13,'BDEW-Standard'!$B$3:$M$158,M$9,0),7)</f>
        <v>-4.0928399999999997E-2</v>
      </c>
      <c r="N13" s="273">
        <f>ROUND(VLOOKUP($E13,'BDEW-Standard'!$B$3:$M$158,N$9,0),7)</f>
        <v>0.76729199999999997</v>
      </c>
      <c r="O13" s="273">
        <f>ROUND(VLOOKUP($E13,'BDEW-Standard'!$B$3:$M$158,O$9,0),7)</f>
        <v>-2.232E-3</v>
      </c>
      <c r="P13" s="273">
        <f>ROUND(VLOOKUP($E13,'BDEW-Standard'!$B$3:$M$158,P$9,0),7)</f>
        <v>0.11992070000000001</v>
      </c>
      <c r="Q13" s="337">
        <f t="shared" si="1"/>
        <v>0.99999997653191475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4" si="2">7-SUM(R13:W13)</f>
        <v>1</v>
      </c>
      <c r="Y13" s="291">
        <v>350</v>
      </c>
      <c r="Z13" s="210"/>
    </row>
    <row r="14" spans="2:26" s="142" customFormat="1">
      <c r="B14" s="143">
        <v>3</v>
      </c>
      <c r="C14" s="144" t="str">
        <f t="shared" si="0"/>
        <v>bnNETZE</v>
      </c>
      <c r="D14" s="62" t="s">
        <v>247</v>
      </c>
      <c r="E14" s="164" t="s">
        <v>670</v>
      </c>
      <c r="F14" s="295" t="str">
        <f>VLOOKUP($E14,'BDEW-Standard'!$B$3:$M$158,F$9,0)</f>
        <v>KM3</v>
      </c>
      <c r="H14" s="273">
        <f>ROUND(VLOOKUP($E14,'BDEW-Standard'!$B$3:$M$158,H$9,0),7)</f>
        <v>1.4202418999999999</v>
      </c>
      <c r="I14" s="273">
        <f>ROUND(VLOOKUP($E14,'BDEW-Standard'!$B$3:$M$158,I$9,0),7)</f>
        <v>-34.880612999999997</v>
      </c>
      <c r="J14" s="273">
        <f>ROUND(VLOOKUP($E14,'BDEW-Standard'!$B$3:$M$158,J$9,0),7)</f>
        <v>6.5951899000000003</v>
      </c>
      <c r="K14" s="273">
        <f>ROUND(VLOOKUP($E14,'BDEW-Standard'!$B$3:$M$158,K$9,0),7)</f>
        <v>3.8531700000000002E-2</v>
      </c>
      <c r="L14" s="336">
        <f>ROUND(VLOOKUP($E14,'BDEW-Standard'!$B$3:$M$158,L$9,0),1)</f>
        <v>40</v>
      </c>
      <c r="M14" s="273">
        <f>ROUND(VLOOKUP($E14,'BDEW-Standard'!$B$3:$M$158,M$9,0),7)</f>
        <v>-5.2108399999999999E-2</v>
      </c>
      <c r="N14" s="273">
        <f>ROUND(VLOOKUP($E14,'BDEW-Standard'!$B$3:$M$158,N$9,0),7)</f>
        <v>0.86479189999999995</v>
      </c>
      <c r="O14" s="273">
        <f>ROUND(VLOOKUP($E14,'BDEW-Standard'!$B$3:$M$158,O$9,0),7)</f>
        <v>-1.4369000000000001E-3</v>
      </c>
      <c r="P14" s="273">
        <f>ROUND(VLOOKUP($E14,'BDEW-Standard'!$B$3:$M$158,P$9,0),7)</f>
        <v>6.3760200000000003E-2</v>
      </c>
      <c r="Q14" s="337">
        <f t="shared" si="1"/>
        <v>1.0000002125085892</v>
      </c>
      <c r="R14" s="274">
        <f>ROUND(VLOOKUP(MID($E14,4,3),'Wochentag F(WT)'!$B$7:$J$22,R$9,0),4)</f>
        <v>1.0699000000000001</v>
      </c>
      <c r="S14" s="274">
        <f>ROUND(VLOOKUP(MID($E14,4,3),'Wochentag F(WT)'!$B$7:$J$22,S$9,0),4)</f>
        <v>1.0365</v>
      </c>
      <c r="T14" s="274">
        <f>ROUND(VLOOKUP(MID($E14,4,3),'Wochentag F(WT)'!$B$7:$J$22,T$9,0),4)</f>
        <v>0.99329999999999996</v>
      </c>
      <c r="U14" s="274">
        <f>ROUND(VLOOKUP(MID($E14,4,3),'Wochentag F(WT)'!$B$7:$J$22,U$9,0),4)</f>
        <v>0.99480000000000002</v>
      </c>
      <c r="V14" s="274">
        <f>ROUND(VLOOKUP(MID($E14,4,3),'Wochentag F(WT)'!$B$7:$J$22,V$9,0),4)</f>
        <v>1.0659000000000001</v>
      </c>
      <c r="W14" s="274">
        <f>ROUND(VLOOKUP(MID($E14,4,3),'Wochentag F(WT)'!$B$7:$J$22,W$9,0),4)</f>
        <v>0.93620000000000003</v>
      </c>
      <c r="X14" s="275">
        <f t="shared" si="2"/>
        <v>0.90339999999999954</v>
      </c>
      <c r="Y14" s="291">
        <v>350</v>
      </c>
      <c r="Z14" s="210"/>
    </row>
    <row r="15" spans="2:26" s="142" customFormat="1">
      <c r="B15" s="143">
        <v>4</v>
      </c>
      <c r="C15" s="144" t="str">
        <f t="shared" si="0"/>
        <v>bnNETZE</v>
      </c>
      <c r="D15" s="62" t="s">
        <v>247</v>
      </c>
      <c r="E15" s="164" t="s">
        <v>671</v>
      </c>
      <c r="F15" s="295" t="str">
        <f>VLOOKUP($E15,'BDEW-Standard'!$B$3:$M$158,F$9,0)</f>
        <v>OK3</v>
      </c>
      <c r="H15" s="273">
        <f>ROUND(VLOOKUP($E15,'BDEW-Standard'!$B$3:$M$158,H$9,0),7)</f>
        <v>1.3554515</v>
      </c>
      <c r="I15" s="273">
        <f>ROUND(VLOOKUP($E15,'BDEW-Standard'!$B$3:$M$158,I$9,0),7)</f>
        <v>-35.141256300000002</v>
      </c>
      <c r="J15" s="273">
        <f>ROUND(VLOOKUP($E15,'BDEW-Standard'!$B$3:$M$158,J$9,0),7)</f>
        <v>7.1303394999999998</v>
      </c>
      <c r="K15" s="273">
        <f>ROUND(VLOOKUP($E15,'BDEW-Standard'!$B$3:$M$158,K$9,0),7)</f>
        <v>9.9061899999999994E-2</v>
      </c>
      <c r="L15" s="336">
        <f>ROUND(VLOOKUP($E15,'BDEW-Standard'!$B$3:$M$158,L$9,0),1)</f>
        <v>40</v>
      </c>
      <c r="M15" s="273">
        <f>ROUND(VLOOKUP($E15,'BDEW-Standard'!$B$3:$M$158,M$9,0),7)</f>
        <v>-5.26487E-2</v>
      </c>
      <c r="N15" s="273">
        <f>ROUND(VLOOKUP($E15,'BDEW-Standard'!$B$3:$M$158,N$9,0),7)</f>
        <v>0.86260859999999995</v>
      </c>
      <c r="O15" s="273">
        <f>ROUND(VLOOKUP($E15,'BDEW-Standard'!$B$3:$M$158,O$9,0),7)</f>
        <v>-8.8080000000000005E-4</v>
      </c>
      <c r="P15" s="273">
        <f>ROUND(VLOOKUP($E15,'BDEW-Standard'!$B$3:$M$158,P$9,0),7)</f>
        <v>9.6401399999999998E-2</v>
      </c>
      <c r="Q15" s="337">
        <f t="shared" si="1"/>
        <v>0.99999998782262245</v>
      </c>
      <c r="R15" s="274">
        <f>ROUND(VLOOKUP(MID($E15,4,3),'Wochentag F(WT)'!$B$7:$J$22,R$9,0),4)</f>
        <v>1.0354000000000001</v>
      </c>
      <c r="S15" s="274">
        <f>ROUND(VLOOKUP(MID($E15,4,3),'Wochentag F(WT)'!$B$7:$J$22,S$9,0),4)</f>
        <v>1.0523</v>
      </c>
      <c r="T15" s="274">
        <f>ROUND(VLOOKUP(MID($E15,4,3),'Wochentag F(WT)'!$B$7:$J$22,T$9,0),4)</f>
        <v>1.0448999999999999</v>
      </c>
      <c r="U15" s="274">
        <f>ROUND(VLOOKUP(MID($E15,4,3),'Wochentag F(WT)'!$B$7:$J$22,U$9,0),4)</f>
        <v>1.0494000000000001</v>
      </c>
      <c r="V15" s="274">
        <f>ROUND(VLOOKUP(MID($E15,4,3),'Wochentag F(WT)'!$B$7:$J$22,V$9,0),4)</f>
        <v>0.98850000000000005</v>
      </c>
      <c r="W15" s="274">
        <f>ROUND(VLOOKUP(MID($E15,4,3),'Wochentag F(WT)'!$B$7:$J$22,W$9,0),4)</f>
        <v>0.88600000000000001</v>
      </c>
      <c r="X15" s="275">
        <f t="shared" si="2"/>
        <v>0.94349999999999934</v>
      </c>
      <c r="Y15" s="291">
        <v>350</v>
      </c>
      <c r="Z15" s="210"/>
    </row>
    <row r="16" spans="2:26" s="142" customFormat="1">
      <c r="B16" s="143">
        <v>5</v>
      </c>
      <c r="C16" s="144" t="str">
        <f t="shared" si="0"/>
        <v>bnNETZE</v>
      </c>
      <c r="D16" s="62" t="s">
        <v>247</v>
      </c>
      <c r="E16" s="164" t="s">
        <v>672</v>
      </c>
      <c r="F16" s="295" t="str">
        <f>VLOOKUP($E16,'BDEW-Standard'!$B$3:$M$158,F$9,0)</f>
        <v>AH3</v>
      </c>
      <c r="H16" s="273">
        <f>ROUND(VLOOKUP($E16,'BDEW-Standard'!$B$3:$M$158,H$9,0),7)</f>
        <v>1.9724775000000001</v>
      </c>
      <c r="I16" s="273">
        <f>ROUND(VLOOKUP($E16,'BDEW-Standard'!$B$3:$M$158,I$9,0),7)</f>
        <v>-36.965006500000001</v>
      </c>
      <c r="J16" s="273">
        <f>ROUND(VLOOKUP($E16,'BDEW-Standard'!$B$3:$M$158,J$9,0),7)</f>
        <v>7.2256947</v>
      </c>
      <c r="K16" s="273">
        <f>ROUND(VLOOKUP($E16,'BDEW-Standard'!$B$3:$M$158,K$9,0),7)</f>
        <v>3.4578200000000003E-2</v>
      </c>
      <c r="L16" s="336">
        <f>ROUND(VLOOKUP($E16,'BDEW-Standard'!$B$3:$M$158,L$9,0),1)</f>
        <v>40</v>
      </c>
      <c r="M16" s="273">
        <f>ROUND(VLOOKUP($E16,'BDEW-Standard'!$B$3:$M$158,M$9,0),7)</f>
        <v>-7.4217400000000003E-2</v>
      </c>
      <c r="N16" s="273">
        <f>ROUND(VLOOKUP($E16,'BDEW-Standard'!$B$3:$M$158,N$9,0),7)</f>
        <v>1.0448869000000001</v>
      </c>
      <c r="O16" s="273">
        <f>ROUND(VLOOKUP($E16,'BDEW-Standard'!$B$3:$M$158,O$9,0),7)</f>
        <v>-8.2950000000000005E-4</v>
      </c>
      <c r="P16" s="273">
        <f>ROUND(VLOOKUP($E16,'BDEW-Standard'!$B$3:$M$158,P$9,0),7)</f>
        <v>4.6179499999999998E-2</v>
      </c>
      <c r="Q16" s="337">
        <f t="shared" si="1"/>
        <v>1.0000000832749945</v>
      </c>
      <c r="R16" s="274">
        <f>ROUND(VLOOKUP(MID($E16,4,3),'Wochentag F(WT)'!$B$7:$J$22,R$9,0),4)</f>
        <v>1.0358000000000001</v>
      </c>
      <c r="S16" s="274">
        <f>ROUND(VLOOKUP(MID($E16,4,3),'Wochentag F(WT)'!$B$7:$J$22,S$9,0),4)</f>
        <v>1.0232000000000001</v>
      </c>
      <c r="T16" s="274">
        <f>ROUND(VLOOKUP(MID($E16,4,3),'Wochentag F(WT)'!$B$7:$J$22,T$9,0),4)</f>
        <v>1.0251999999999999</v>
      </c>
      <c r="U16" s="274">
        <f>ROUND(VLOOKUP(MID($E16,4,3),'Wochentag F(WT)'!$B$7:$J$22,U$9,0),4)</f>
        <v>1.0295000000000001</v>
      </c>
      <c r="V16" s="274">
        <f>ROUND(VLOOKUP(MID($E16,4,3),'Wochentag F(WT)'!$B$7:$J$22,V$9,0),4)</f>
        <v>1.0253000000000001</v>
      </c>
      <c r="W16" s="274">
        <f>ROUND(VLOOKUP(MID($E16,4,3),'Wochentag F(WT)'!$B$7:$J$22,W$9,0),4)</f>
        <v>0.96750000000000003</v>
      </c>
      <c r="X16" s="275">
        <f t="shared" si="2"/>
        <v>0.89350000000000041</v>
      </c>
      <c r="Y16" s="291">
        <v>350</v>
      </c>
      <c r="Z16" s="210"/>
    </row>
    <row r="17" spans="2:26" s="142" customFormat="1">
      <c r="B17" s="143">
        <v>6</v>
      </c>
      <c r="C17" s="144" t="str">
        <f t="shared" si="0"/>
        <v>bnNETZE</v>
      </c>
      <c r="D17" s="62" t="s">
        <v>247</v>
      </c>
      <c r="E17" s="164" t="s">
        <v>673</v>
      </c>
      <c r="F17" s="295" t="str">
        <f>VLOOKUP($E17,'BDEW-Standard'!$B$3:$M$158,F$9,0)</f>
        <v>DB3</v>
      </c>
      <c r="H17" s="273">
        <f>ROUND(VLOOKUP($E17,'BDEW-Standard'!$B$3:$M$158,H$9,0),7)</f>
        <v>1.4633681999999999</v>
      </c>
      <c r="I17" s="273">
        <f>ROUND(VLOOKUP($E17,'BDEW-Standard'!$B$3:$M$158,I$9,0),7)</f>
        <v>-36.179411700000003</v>
      </c>
      <c r="J17" s="273">
        <f>ROUND(VLOOKUP($E17,'BDEW-Standard'!$B$3:$M$158,J$9,0),7)</f>
        <v>5.9265162</v>
      </c>
      <c r="K17" s="273">
        <f>ROUND(VLOOKUP($E17,'BDEW-Standard'!$B$3:$M$158,K$9,0),7)</f>
        <v>8.0883499999999997E-2</v>
      </c>
      <c r="L17" s="336">
        <f>ROUND(VLOOKUP($E17,'BDEW-Standard'!$B$3:$M$158,L$9,0),1)</f>
        <v>40</v>
      </c>
      <c r="M17" s="273">
        <f>ROUND(VLOOKUP($E17,'BDEW-Standard'!$B$3:$M$158,M$9,0),7)</f>
        <v>-4.7579999999999997E-2</v>
      </c>
      <c r="N17" s="273">
        <f>ROUND(VLOOKUP($E17,'BDEW-Standard'!$B$3:$M$158,N$9,0),7)</f>
        <v>0.82307540000000001</v>
      </c>
      <c r="O17" s="273">
        <f>ROUND(VLOOKUP($E17,'BDEW-Standard'!$B$3:$M$158,O$9,0),7)</f>
        <v>-1.9273000000000001E-3</v>
      </c>
      <c r="P17" s="273">
        <f>ROUND(VLOOKUP($E17,'BDEW-Standard'!$B$3:$M$158,P$9,0),7)</f>
        <v>0.1077046</v>
      </c>
      <c r="Q17" s="337">
        <f t="shared" si="1"/>
        <v>0.99999993818735389</v>
      </c>
      <c r="R17" s="274">
        <f>ROUND(VLOOKUP(MID($E17,4,3),'Wochentag F(WT)'!$B$7:$J$22,R$9,0),4)</f>
        <v>1.1052</v>
      </c>
      <c r="S17" s="274">
        <f>ROUND(VLOOKUP(MID($E17,4,3),'Wochentag F(WT)'!$B$7:$J$22,S$9,0),4)</f>
        <v>1.0857000000000001</v>
      </c>
      <c r="T17" s="274">
        <f>ROUND(VLOOKUP(MID($E17,4,3),'Wochentag F(WT)'!$B$7:$J$22,T$9,0),4)</f>
        <v>1.0378000000000001</v>
      </c>
      <c r="U17" s="274">
        <f>ROUND(VLOOKUP(MID($E17,4,3),'Wochentag F(WT)'!$B$7:$J$22,U$9,0),4)</f>
        <v>1.0622</v>
      </c>
      <c r="V17" s="274">
        <f>ROUND(VLOOKUP(MID($E17,4,3),'Wochentag F(WT)'!$B$7:$J$22,V$9,0),4)</f>
        <v>1.0266</v>
      </c>
      <c r="W17" s="274">
        <f>ROUND(VLOOKUP(MID($E17,4,3),'Wochentag F(WT)'!$B$7:$J$22,W$9,0),4)</f>
        <v>0.76290000000000002</v>
      </c>
      <c r="X17" s="275">
        <f t="shared" si="2"/>
        <v>0.91959999999999997</v>
      </c>
      <c r="Y17" s="291">
        <v>350</v>
      </c>
      <c r="Z17" s="210"/>
    </row>
    <row r="18" spans="2:26" s="142" customFormat="1">
      <c r="B18" s="143">
        <v>7</v>
      </c>
      <c r="C18" s="144" t="str">
        <f t="shared" si="0"/>
        <v>bnNETZE</v>
      </c>
      <c r="D18" s="62" t="s">
        <v>247</v>
      </c>
      <c r="E18" s="164" t="s">
        <v>674</v>
      </c>
      <c r="F18" s="295" t="str">
        <f>VLOOKUP($E18,'BDEW-Standard'!$B$3:$M$158,F$9,0)</f>
        <v>HB3</v>
      </c>
      <c r="H18" s="273">
        <f>ROUND(VLOOKUP($E18,'BDEW-Standard'!$B$3:$M$158,H$9,0),7)</f>
        <v>0.98742830000000004</v>
      </c>
      <c r="I18" s="273">
        <f>ROUND(VLOOKUP($E18,'BDEW-Standard'!$B$3:$M$158,I$9,0),7)</f>
        <v>-35.253212400000002</v>
      </c>
      <c r="J18" s="273">
        <f>ROUND(VLOOKUP($E18,'BDEW-Standard'!$B$3:$M$158,J$9,0),7)</f>
        <v>6.1544406</v>
      </c>
      <c r="K18" s="273">
        <f>ROUND(VLOOKUP($E18,'BDEW-Standard'!$B$3:$M$158,K$9,0),7)</f>
        <v>0.22657160000000001</v>
      </c>
      <c r="L18" s="336">
        <f>ROUND(VLOOKUP($E18,'BDEW-Standard'!$B$3:$M$158,L$9,0),1)</f>
        <v>40</v>
      </c>
      <c r="M18" s="273">
        <f>ROUND(VLOOKUP($E18,'BDEW-Standard'!$B$3:$M$158,M$9,0),7)</f>
        <v>-3.3902000000000002E-2</v>
      </c>
      <c r="N18" s="273">
        <f>ROUND(VLOOKUP($E18,'BDEW-Standard'!$B$3:$M$158,N$9,0),7)</f>
        <v>0.69382339999999998</v>
      </c>
      <c r="O18" s="273">
        <f>ROUND(VLOOKUP($E18,'BDEW-Standard'!$B$3:$M$158,O$9,0),7)</f>
        <v>-1.2849000000000001E-3</v>
      </c>
      <c r="P18" s="273">
        <f>ROUND(VLOOKUP($E18,'BDEW-Standard'!$B$3:$M$158,P$9,0),7)</f>
        <v>0.20297319999999999</v>
      </c>
      <c r="Q18" s="337">
        <f t="shared" si="1"/>
        <v>0.99999983700977324</v>
      </c>
      <c r="R18" s="274">
        <f>ROUND(VLOOKUP(MID($E18,4,3),'Wochentag F(WT)'!$B$7:$J$22,R$9,0),4)</f>
        <v>0.97670000000000001</v>
      </c>
      <c r="S18" s="274">
        <f>ROUND(VLOOKUP(MID($E18,4,3),'Wochentag F(WT)'!$B$7:$J$22,S$9,0),4)</f>
        <v>1.0388999999999999</v>
      </c>
      <c r="T18" s="274">
        <f>ROUND(VLOOKUP(MID($E18,4,3),'Wochentag F(WT)'!$B$7:$J$22,T$9,0),4)</f>
        <v>1.0027999999999999</v>
      </c>
      <c r="U18" s="274">
        <f>ROUND(VLOOKUP(MID($E18,4,3),'Wochentag F(WT)'!$B$7:$J$22,U$9,0),4)</f>
        <v>1.0162</v>
      </c>
      <c r="V18" s="274">
        <f>ROUND(VLOOKUP(MID($E18,4,3),'Wochentag F(WT)'!$B$7:$J$22,V$9,0),4)</f>
        <v>1.0024</v>
      </c>
      <c r="W18" s="274">
        <f>ROUND(VLOOKUP(MID($E18,4,3),'Wochentag F(WT)'!$B$7:$J$22,W$9,0),4)</f>
        <v>1.0043</v>
      </c>
      <c r="X18" s="275">
        <f t="shared" si="2"/>
        <v>0.95870000000000122</v>
      </c>
      <c r="Y18" s="291">
        <v>350</v>
      </c>
      <c r="Z18" s="210"/>
    </row>
    <row r="19" spans="2:26" s="142" customFormat="1">
      <c r="B19" s="143">
        <v>8</v>
      </c>
      <c r="C19" s="144" t="str">
        <f t="shared" si="0"/>
        <v>bnNETZE</v>
      </c>
      <c r="D19" s="62" t="s">
        <v>247</v>
      </c>
      <c r="E19" s="164" t="s">
        <v>675</v>
      </c>
      <c r="F19" s="295" t="str">
        <f>VLOOKUP($E19,'BDEW-Standard'!$B$3:$M$158,F$9,0)</f>
        <v>AG3</v>
      </c>
      <c r="H19" s="273">
        <f>ROUND(VLOOKUP($E19,'BDEW-Standard'!$B$3:$M$158,H$9,0),7)</f>
        <v>1.1582082</v>
      </c>
      <c r="I19" s="273">
        <f>ROUND(VLOOKUP($E19,'BDEW-Standard'!$B$3:$M$158,I$9,0),7)</f>
        <v>-36.287858399999998</v>
      </c>
      <c r="J19" s="273">
        <f>ROUND(VLOOKUP($E19,'BDEW-Standard'!$B$3:$M$158,J$9,0),7)</f>
        <v>6.5885125999999996</v>
      </c>
      <c r="K19" s="273">
        <f>ROUND(VLOOKUP($E19,'BDEW-Standard'!$B$3:$M$158,K$9,0),7)</f>
        <v>0.22356799999999999</v>
      </c>
      <c r="L19" s="336">
        <f>ROUND(VLOOKUP($E19,'BDEW-Standard'!$B$3:$M$158,L$9,0),1)</f>
        <v>40</v>
      </c>
      <c r="M19" s="273">
        <f>ROUND(VLOOKUP($E19,'BDEW-Standard'!$B$3:$M$158,M$9,0),7)</f>
        <v>-4.1033500000000001E-2</v>
      </c>
      <c r="N19" s="273">
        <f>ROUND(VLOOKUP($E19,'BDEW-Standard'!$B$3:$M$158,N$9,0),7)</f>
        <v>0.75264509999999996</v>
      </c>
      <c r="O19" s="273">
        <f>ROUND(VLOOKUP($E19,'BDEW-Standard'!$B$3:$M$158,O$9,0),7)</f>
        <v>-9.0879999999999997E-4</v>
      </c>
      <c r="P19" s="273">
        <f>ROUND(VLOOKUP($E19,'BDEW-Standard'!$B$3:$M$158,P$9,0),7)</f>
        <v>0.1916641</v>
      </c>
      <c r="Q19" s="337">
        <f t="shared" si="1"/>
        <v>0.99999977999083423</v>
      </c>
      <c r="R19" s="274">
        <f>ROUND(VLOOKUP(MID($E19,4,3),'Wochentag F(WT)'!$B$7:$J$22,R$9,0),4)</f>
        <v>0.93220000000000003</v>
      </c>
      <c r="S19" s="274">
        <f>ROUND(VLOOKUP(MID($E19,4,3),'Wochentag F(WT)'!$B$7:$J$22,S$9,0),4)</f>
        <v>0.98939999999999995</v>
      </c>
      <c r="T19" s="274">
        <f>ROUND(VLOOKUP(MID($E19,4,3),'Wochentag F(WT)'!$B$7:$J$22,T$9,0),4)</f>
        <v>1.0033000000000001</v>
      </c>
      <c r="U19" s="274">
        <f>ROUND(VLOOKUP(MID($E19,4,3),'Wochentag F(WT)'!$B$7:$J$22,U$9,0),4)</f>
        <v>1.0108999999999999</v>
      </c>
      <c r="V19" s="274">
        <f>ROUND(VLOOKUP(MID($E19,4,3),'Wochentag F(WT)'!$B$7:$J$22,V$9,0),4)</f>
        <v>1.018</v>
      </c>
      <c r="W19" s="274">
        <f>ROUND(VLOOKUP(MID($E19,4,3),'Wochentag F(WT)'!$B$7:$J$22,W$9,0),4)</f>
        <v>1.0356000000000001</v>
      </c>
      <c r="X19" s="275">
        <f t="shared" si="2"/>
        <v>1.0106000000000002</v>
      </c>
      <c r="Y19" s="291">
        <v>350</v>
      </c>
      <c r="Z19" s="210"/>
    </row>
    <row r="20" spans="2:26" s="142" customFormat="1">
      <c r="B20" s="143">
        <v>9</v>
      </c>
      <c r="C20" s="144" t="str">
        <f t="shared" si="0"/>
        <v>bnNETZE</v>
      </c>
      <c r="D20" s="62" t="s">
        <v>247</v>
      </c>
      <c r="E20" s="164" t="s">
        <v>676</v>
      </c>
      <c r="F20" s="295" t="str">
        <f>VLOOKUP($E20,'BDEW-Standard'!$B$3:$M$158,F$9,0)</f>
        <v>AB3</v>
      </c>
      <c r="H20" s="273">
        <f>ROUND(VLOOKUP($E20,'BDEW-Standard'!$B$3:$M$158,H$9,0),7)</f>
        <v>0.2770087</v>
      </c>
      <c r="I20" s="273">
        <f>ROUND(VLOOKUP($E20,'BDEW-Standard'!$B$3:$M$158,I$9,0),7)</f>
        <v>-33</v>
      </c>
      <c r="J20" s="273">
        <f>ROUND(VLOOKUP($E20,'BDEW-Standard'!$B$3:$M$158,J$9,0),7)</f>
        <v>5.7212303000000002</v>
      </c>
      <c r="K20" s="273">
        <f>ROUND(VLOOKUP($E20,'BDEW-Standard'!$B$3:$M$158,K$9,0),7)</f>
        <v>0.48651179999999999</v>
      </c>
      <c r="L20" s="336">
        <f>ROUND(VLOOKUP($E20,'BDEW-Standard'!$B$3:$M$158,L$9,0),1)</f>
        <v>40</v>
      </c>
      <c r="M20" s="273">
        <f>ROUND(VLOOKUP($E20,'BDEW-Standard'!$B$3:$M$158,M$9,0),7)</f>
        <v>-9.4848999999999992E-3</v>
      </c>
      <c r="N20" s="273">
        <f>ROUND(VLOOKUP($E20,'BDEW-Standard'!$B$3:$M$158,N$9,0),7)</f>
        <v>0.46302369999999998</v>
      </c>
      <c r="O20" s="273">
        <f>ROUND(VLOOKUP($E20,'BDEW-Standard'!$B$3:$M$158,O$9,0),7)</f>
        <v>-7.1339999999999999E-4</v>
      </c>
      <c r="P20" s="273">
        <f>ROUND(VLOOKUP($E20,'BDEW-Standard'!$B$3:$M$158,P$9,0),7)</f>
        <v>0.3867447</v>
      </c>
      <c r="Q20" s="337">
        <f t="shared" si="1"/>
        <v>1.0000000764227039</v>
      </c>
      <c r="R20" s="274">
        <f>ROUND(VLOOKUP(MID($E20,4,3),'Wochentag F(WT)'!$B$7:$J$22,R$9,0),4)</f>
        <v>1.0848</v>
      </c>
      <c r="S20" s="274">
        <f>ROUND(VLOOKUP(MID($E20,4,3),'Wochentag F(WT)'!$B$7:$J$22,S$9,0),4)</f>
        <v>1.1211</v>
      </c>
      <c r="T20" s="274">
        <f>ROUND(VLOOKUP(MID($E20,4,3),'Wochentag F(WT)'!$B$7:$J$22,T$9,0),4)</f>
        <v>1.0769</v>
      </c>
      <c r="U20" s="274">
        <f>ROUND(VLOOKUP(MID($E20,4,3),'Wochentag F(WT)'!$B$7:$J$22,U$9,0),4)</f>
        <v>1.1353</v>
      </c>
      <c r="V20" s="274">
        <f>ROUND(VLOOKUP(MID($E20,4,3),'Wochentag F(WT)'!$B$7:$J$22,V$9,0),4)</f>
        <v>1.1402000000000001</v>
      </c>
      <c r="W20" s="274">
        <f>ROUND(VLOOKUP(MID($E20,4,3),'Wochentag F(WT)'!$B$7:$J$22,W$9,0),4)</f>
        <v>0.48520000000000002</v>
      </c>
      <c r="X20" s="275">
        <f t="shared" si="2"/>
        <v>0.95650000000000013</v>
      </c>
      <c r="Y20" s="291">
        <v>350</v>
      </c>
      <c r="Z20" s="210"/>
    </row>
    <row r="21" spans="2:26" s="142" customFormat="1">
      <c r="B21" s="143">
        <v>10</v>
      </c>
      <c r="C21" s="144" t="str">
        <f t="shared" si="0"/>
        <v>bnNETZE</v>
      </c>
      <c r="D21" s="62" t="s">
        <v>247</v>
      </c>
      <c r="E21" s="164" t="s">
        <v>677</v>
      </c>
      <c r="F21" s="295" t="str">
        <f>VLOOKUP($E21,'BDEW-Standard'!$B$3:$M$158,F$9,0)</f>
        <v>AW3</v>
      </c>
      <c r="H21" s="273">
        <f>ROUND(VLOOKUP($E21,'BDEW-Standard'!$B$3:$M$158,H$9,0),7)</f>
        <v>0.33378380000000002</v>
      </c>
      <c r="I21" s="273">
        <f>ROUND(VLOOKUP($E21,'BDEW-Standard'!$B$3:$M$158,I$9,0),7)</f>
        <v>-36.023791199999998</v>
      </c>
      <c r="J21" s="273">
        <f>ROUND(VLOOKUP($E21,'BDEW-Standard'!$B$3:$M$158,J$9,0),7)</f>
        <v>4.8662747</v>
      </c>
      <c r="K21" s="273">
        <f>ROUND(VLOOKUP($E21,'BDEW-Standard'!$B$3:$M$158,K$9,0),7)</f>
        <v>0.491228</v>
      </c>
      <c r="L21" s="336">
        <f>ROUND(VLOOKUP($E21,'BDEW-Standard'!$B$3:$M$158,L$9,0),1)</f>
        <v>40</v>
      </c>
      <c r="M21" s="273">
        <f>ROUND(VLOOKUP($E21,'BDEW-Standard'!$B$3:$M$158,M$9,0),7)</f>
        <v>-9.2262999999999998E-3</v>
      </c>
      <c r="N21" s="273">
        <f>ROUND(VLOOKUP($E21,'BDEW-Standard'!$B$3:$M$158,N$9,0),7)</f>
        <v>0.45957569999999998</v>
      </c>
      <c r="O21" s="273">
        <f>ROUND(VLOOKUP($E21,'BDEW-Standard'!$B$3:$M$158,O$9,0),7)</f>
        <v>-9.6759999999999999E-4</v>
      </c>
      <c r="P21" s="273">
        <f>ROUND(VLOOKUP($E21,'BDEW-Standard'!$B$3:$M$158,P$9,0),7)</f>
        <v>0.39642909999999998</v>
      </c>
      <c r="Q21" s="337">
        <f t="shared" si="1"/>
        <v>1.000000394217609</v>
      </c>
      <c r="R21" s="274">
        <f>ROUND(VLOOKUP(MID($E21,4,3),'Wochentag F(WT)'!$B$7:$J$22,R$9,0),4)</f>
        <v>1.2457</v>
      </c>
      <c r="S21" s="274">
        <f>ROUND(VLOOKUP(MID($E21,4,3),'Wochentag F(WT)'!$B$7:$J$22,S$9,0),4)</f>
        <v>1.2615000000000001</v>
      </c>
      <c r="T21" s="274">
        <f>ROUND(VLOOKUP(MID($E21,4,3),'Wochentag F(WT)'!$B$7:$J$22,T$9,0),4)</f>
        <v>1.2706999999999999</v>
      </c>
      <c r="U21" s="274">
        <f>ROUND(VLOOKUP(MID($E21,4,3),'Wochentag F(WT)'!$B$7:$J$22,U$9,0),4)</f>
        <v>1.2430000000000001</v>
      </c>
      <c r="V21" s="274">
        <f>ROUND(VLOOKUP(MID($E21,4,3),'Wochentag F(WT)'!$B$7:$J$22,V$9,0),4)</f>
        <v>1.1275999999999999</v>
      </c>
      <c r="W21" s="274">
        <f>ROUND(VLOOKUP(MID($E21,4,3),'Wochentag F(WT)'!$B$7:$J$22,W$9,0),4)</f>
        <v>0.38769999999999999</v>
      </c>
      <c r="X21" s="275">
        <f t="shared" si="2"/>
        <v>0.46379999999999999</v>
      </c>
      <c r="Y21" s="291">
        <v>350</v>
      </c>
      <c r="Z21" s="210"/>
    </row>
    <row r="22" spans="2:26" s="142" customFormat="1">
      <c r="B22" s="143">
        <v>11</v>
      </c>
      <c r="C22" s="144" t="str">
        <f t="shared" si="0"/>
        <v>bnNETZE</v>
      </c>
      <c r="D22" s="62" t="s">
        <v>247</v>
      </c>
      <c r="E22" s="164" t="s">
        <v>678</v>
      </c>
      <c r="F22" s="295" t="str">
        <f>VLOOKUP($E22,'BDEW-Standard'!$B$3:$M$158,F$9,0)</f>
        <v>BG3</v>
      </c>
      <c r="H22" s="273">
        <f>ROUND(VLOOKUP($E22,'BDEW-Standard'!$B$3:$M$158,H$9,0),7)</f>
        <v>1.8213778</v>
      </c>
      <c r="I22" s="273">
        <f>ROUND(VLOOKUP($E22,'BDEW-Standard'!$B$3:$M$158,I$9,0),7)</f>
        <v>-37.5</v>
      </c>
      <c r="J22" s="273">
        <f>ROUND(VLOOKUP($E22,'BDEW-Standard'!$B$3:$M$158,J$9,0),7)</f>
        <v>6.3462148000000003</v>
      </c>
      <c r="K22" s="273">
        <f>ROUND(VLOOKUP($E22,'BDEW-Standard'!$B$3:$M$158,K$9,0),7)</f>
        <v>6.7811800000000005E-2</v>
      </c>
      <c r="L22" s="336">
        <f>ROUND(VLOOKUP($E22,'BDEW-Standard'!$B$3:$M$158,L$9,0),1)</f>
        <v>40</v>
      </c>
      <c r="M22" s="273">
        <f>ROUND(VLOOKUP($E22,'BDEW-Standard'!$B$3:$M$158,M$9,0),7)</f>
        <v>-6.0766599999999997E-2</v>
      </c>
      <c r="N22" s="273">
        <f>ROUND(VLOOKUP($E22,'BDEW-Standard'!$B$3:$M$158,N$9,0),7)</f>
        <v>0.93081590000000003</v>
      </c>
      <c r="O22" s="273">
        <f>ROUND(VLOOKUP($E22,'BDEW-Standard'!$B$3:$M$158,O$9,0),7)</f>
        <v>-1.3967000000000001E-3</v>
      </c>
      <c r="P22" s="273">
        <f>ROUND(VLOOKUP($E22,'BDEW-Standard'!$B$3:$M$158,P$9,0),7)</f>
        <v>8.5039900000000002E-2</v>
      </c>
      <c r="Q22" s="337">
        <f t="shared" si="1"/>
        <v>0.99999980465705085</v>
      </c>
      <c r="R22" s="274">
        <f>ROUND(VLOOKUP(MID($E22,4,3),'Wochentag F(WT)'!$B$7:$J$22,R$9,0),4)</f>
        <v>0.98970000000000002</v>
      </c>
      <c r="S22" s="274">
        <f>ROUND(VLOOKUP(MID($E22,4,3),'Wochentag F(WT)'!$B$7:$J$22,S$9,0),4)</f>
        <v>0.9627</v>
      </c>
      <c r="T22" s="274">
        <f>ROUND(VLOOKUP(MID($E22,4,3),'Wochentag F(WT)'!$B$7:$J$22,T$9,0),4)</f>
        <v>1.0507</v>
      </c>
      <c r="U22" s="274">
        <f>ROUND(VLOOKUP(MID($E22,4,3),'Wochentag F(WT)'!$B$7:$J$22,U$9,0),4)</f>
        <v>1.0551999999999999</v>
      </c>
      <c r="V22" s="274">
        <f>ROUND(VLOOKUP(MID($E22,4,3),'Wochentag F(WT)'!$B$7:$J$22,V$9,0),4)</f>
        <v>1.0297000000000001</v>
      </c>
      <c r="W22" s="274">
        <f>ROUND(VLOOKUP(MID($E22,4,3),'Wochentag F(WT)'!$B$7:$J$22,W$9,0),4)</f>
        <v>0.97670000000000001</v>
      </c>
      <c r="X22" s="275">
        <f t="shared" si="2"/>
        <v>0.9352999999999998</v>
      </c>
      <c r="Y22" s="291">
        <v>350</v>
      </c>
      <c r="Z22" s="210"/>
    </row>
    <row r="23" spans="2:26" s="142" customFormat="1">
      <c r="B23" s="143">
        <v>12</v>
      </c>
      <c r="C23" s="144" t="str">
        <f t="shared" si="0"/>
        <v>bnNETZE</v>
      </c>
      <c r="D23" s="62" t="s">
        <v>247</v>
      </c>
      <c r="E23" s="164" t="s">
        <v>679</v>
      </c>
      <c r="F23" s="295" t="str">
        <f>VLOOKUP($E23,'BDEW-Standard'!$B$3:$M$158,F$9,0)</f>
        <v>DP3</v>
      </c>
      <c r="H23" s="273">
        <f>ROUND(VLOOKUP($E23,'BDEW-Standard'!$B$3:$M$158,H$9,0),7)</f>
        <v>1.7110738999999999</v>
      </c>
      <c r="I23" s="273">
        <f>ROUND(VLOOKUP($E23,'BDEW-Standard'!$B$3:$M$158,I$9,0),7)</f>
        <v>-35.799999999999997</v>
      </c>
      <c r="J23" s="273">
        <f>ROUND(VLOOKUP($E23,'BDEW-Standard'!$B$3:$M$158,J$9,0),7)</f>
        <v>8.4</v>
      </c>
      <c r="K23" s="273">
        <f>ROUND(VLOOKUP($E23,'BDEW-Standard'!$B$3:$M$158,K$9,0),7)</f>
        <v>7.02546E-2</v>
      </c>
      <c r="L23" s="336">
        <f>ROUND(VLOOKUP($E23,'BDEW-Standard'!$B$3:$M$158,L$9,0),1)</f>
        <v>40</v>
      </c>
      <c r="M23" s="273">
        <f>ROUND(VLOOKUP($E23,'BDEW-Standard'!$B$3:$M$158,M$9,0),7)</f>
        <v>-7.4538099999999996E-2</v>
      </c>
      <c r="N23" s="273">
        <f>ROUND(VLOOKUP($E23,'BDEW-Standard'!$B$3:$M$158,N$9,0),7)</f>
        <v>1.0463005000000001</v>
      </c>
      <c r="O23" s="273">
        <f>ROUND(VLOOKUP($E23,'BDEW-Standard'!$B$3:$M$158,O$9,0),7)</f>
        <v>-3.6719999999999998E-4</v>
      </c>
      <c r="P23" s="273">
        <f>ROUND(VLOOKUP($E23,'BDEW-Standard'!$B$3:$M$158,P$9,0),7)</f>
        <v>6.2188199999999999E-2</v>
      </c>
      <c r="Q23" s="337">
        <f t="shared" si="1"/>
        <v>1.0000000773228386</v>
      </c>
      <c r="R23" s="274">
        <f>ROUND(VLOOKUP(MID($E23,4,3),'Wochentag F(WT)'!$B$7:$J$22,R$9,0),4)</f>
        <v>1.0214000000000001</v>
      </c>
      <c r="S23" s="274">
        <f>ROUND(VLOOKUP(MID($E23,4,3),'Wochentag F(WT)'!$B$7:$J$22,S$9,0),4)</f>
        <v>1.0866</v>
      </c>
      <c r="T23" s="274">
        <f>ROUND(VLOOKUP(MID($E23,4,3),'Wochentag F(WT)'!$B$7:$J$22,T$9,0),4)</f>
        <v>1.0720000000000001</v>
      </c>
      <c r="U23" s="274">
        <f>ROUND(VLOOKUP(MID($E23,4,3),'Wochentag F(WT)'!$B$7:$J$22,U$9,0),4)</f>
        <v>1.0557000000000001</v>
      </c>
      <c r="V23" s="274">
        <f>ROUND(VLOOKUP(MID($E23,4,3),'Wochentag F(WT)'!$B$7:$J$22,V$9,0),4)</f>
        <v>1.0117</v>
      </c>
      <c r="W23" s="274">
        <f>ROUND(VLOOKUP(MID($E23,4,3),'Wochentag F(WT)'!$B$7:$J$22,W$9,0),4)</f>
        <v>0.90010000000000001</v>
      </c>
      <c r="X23" s="275">
        <f t="shared" si="2"/>
        <v>0.85249999999999915</v>
      </c>
      <c r="Y23" s="291">
        <v>350</v>
      </c>
      <c r="Z23" s="210"/>
    </row>
    <row r="24" spans="2:26" s="142" customFormat="1">
      <c r="B24" s="143">
        <v>13</v>
      </c>
      <c r="C24" s="144" t="str">
        <f t="shared" si="0"/>
        <v>bnNETZE</v>
      </c>
      <c r="D24" s="62" t="s">
        <v>247</v>
      </c>
      <c r="E24" s="164" t="s">
        <v>4</v>
      </c>
      <c r="F24" s="295" t="str">
        <f>VLOOKUP($E24,'BDEW-Standard'!$B$3:$M$158,F$9,0)</f>
        <v>HK3</v>
      </c>
      <c r="H24" s="273">
        <f>ROUND(VLOOKUP($E24,'BDEW-Standard'!$B$3:$M$158,H$9,0),7)</f>
        <v>0.40409319999999999</v>
      </c>
      <c r="I24" s="273">
        <f>ROUND(VLOOKUP($E24,'BDEW-Standard'!$B$3:$M$158,I$9,0),7)</f>
        <v>-24.439296800000001</v>
      </c>
      <c r="J24" s="273">
        <f>ROUND(VLOOKUP($E24,'BDEW-Standard'!$B$3:$M$158,J$9,0),7)</f>
        <v>6.5718174999999999</v>
      </c>
      <c r="K24" s="273">
        <f>ROUND(VLOOKUP($E24,'BDEW-Standard'!$B$3:$M$158,K$9,0),7)</f>
        <v>0.71077100000000004</v>
      </c>
      <c r="L24" s="336">
        <f>ROUND(VLOOKUP($E24,'BDEW-Standard'!$B$3:$M$158,L$9,0),1)</f>
        <v>40</v>
      </c>
      <c r="M24" s="273">
        <f>ROUND(VLOOKUP($E24,'BDEW-Standard'!$B$3:$M$158,M$9,0),7)</f>
        <v>0</v>
      </c>
      <c r="N24" s="273">
        <f>ROUND(VLOOKUP($E24,'BDEW-Standard'!$B$3:$M$158,N$9,0),7)</f>
        <v>0</v>
      </c>
      <c r="O24" s="273">
        <f>ROUND(VLOOKUP($E24,'BDEW-Standard'!$B$3:$M$158,O$9,0),7)</f>
        <v>0</v>
      </c>
      <c r="P24" s="273">
        <f>ROUND(VLOOKUP($E24,'BDEW-Standard'!$B$3:$M$158,P$9,0),7)</f>
        <v>0</v>
      </c>
      <c r="Q24" s="337">
        <f t="shared" si="1"/>
        <v>1.0561214000512988</v>
      </c>
      <c r="R24" s="274">
        <f>ROUND(VLOOKUP(MID($E24,4,3),'Wochentag F(WT)'!$B$7:$J$22,R$9,0),4)</f>
        <v>1</v>
      </c>
      <c r="S24" s="274">
        <f>ROUND(VLOOKUP(MID($E24,4,3),'Wochentag F(WT)'!$B$7:$J$22,S$9,0),4)</f>
        <v>1</v>
      </c>
      <c r="T24" s="274">
        <f>ROUND(VLOOKUP(MID($E24,4,3),'Wochentag F(WT)'!$B$7:$J$22,T$9,0),4)</f>
        <v>1</v>
      </c>
      <c r="U24" s="274">
        <f>ROUND(VLOOKUP(MID($E24,4,3),'Wochentag F(WT)'!$B$7:$J$22,U$9,0),4)</f>
        <v>1</v>
      </c>
      <c r="V24" s="274">
        <f>ROUND(VLOOKUP(MID($E24,4,3),'Wochentag F(WT)'!$B$7:$J$22,V$9,0),4)</f>
        <v>1</v>
      </c>
      <c r="W24" s="274">
        <f>ROUND(VLOOKUP(MID($E24,4,3),'Wochentag F(WT)'!$B$7:$J$22,W$9,0),4)</f>
        <v>1</v>
      </c>
      <c r="X24" s="275">
        <f t="shared" si="2"/>
        <v>1</v>
      </c>
      <c r="Y24" s="291">
        <v>350</v>
      </c>
      <c r="Z24" s="210"/>
    </row>
    <row r="25" spans="2:26" s="142" customFormat="1">
      <c r="B25" s="143"/>
      <c r="C25" s="144"/>
      <c r="D25" s="62"/>
      <c r="E25" s="164"/>
      <c r="F25" s="295"/>
      <c r="H25" s="273"/>
      <c r="I25" s="273"/>
      <c r="J25" s="273"/>
      <c r="K25" s="273"/>
      <c r="L25" s="336"/>
      <c r="M25" s="273"/>
      <c r="N25" s="273"/>
      <c r="O25" s="273"/>
      <c r="P25" s="273"/>
      <c r="Q25" s="337"/>
      <c r="R25" s="274"/>
      <c r="S25" s="274"/>
      <c r="T25" s="274"/>
      <c r="U25" s="274"/>
      <c r="V25" s="274"/>
      <c r="W25" s="274"/>
      <c r="X25" s="275"/>
      <c r="Y25" s="291"/>
      <c r="Z25" s="210"/>
    </row>
    <row r="26" spans="2:26" s="142" customFormat="1">
      <c r="B26" s="143"/>
      <c r="C26" s="144"/>
      <c r="D26" s="62"/>
      <c r="E26" s="164"/>
      <c r="F26" s="295"/>
      <c r="H26" s="273"/>
      <c r="I26" s="273"/>
      <c r="J26" s="273"/>
      <c r="K26" s="273"/>
      <c r="L26" s="336"/>
      <c r="M26" s="273"/>
      <c r="N26" s="273"/>
      <c r="O26" s="273"/>
      <c r="P26" s="273"/>
      <c r="Q26" s="337"/>
      <c r="R26" s="274"/>
      <c r="S26" s="274"/>
      <c r="T26" s="274"/>
      <c r="U26" s="274"/>
      <c r="V26" s="274"/>
      <c r="W26" s="274"/>
      <c r="X26" s="275"/>
      <c r="Y26" s="291"/>
      <c r="Z26" s="210"/>
    </row>
    <row r="27" spans="2:26" s="142" customFormat="1">
      <c r="B27" s="143"/>
      <c r="C27" s="144"/>
      <c r="D27" s="62"/>
      <c r="E27" s="165"/>
      <c r="F27" s="295"/>
      <c r="H27" s="276"/>
      <c r="I27" s="276"/>
      <c r="J27" s="276"/>
      <c r="K27" s="276"/>
      <c r="L27" s="336"/>
      <c r="M27" s="276"/>
      <c r="N27" s="276"/>
      <c r="O27" s="276"/>
      <c r="P27" s="276"/>
      <c r="Q27" s="338"/>
      <c r="R27" s="277"/>
      <c r="S27" s="277"/>
      <c r="T27" s="277"/>
      <c r="U27" s="277"/>
      <c r="V27" s="277"/>
      <c r="W27" s="277"/>
      <c r="X27" s="278"/>
      <c r="Y27" s="291"/>
    </row>
    <row r="28" spans="2:26" s="142" customFormat="1">
      <c r="B28" s="143"/>
      <c r="C28" s="144"/>
      <c r="D28" s="62"/>
      <c r="E28" s="165"/>
      <c r="F28" s="295"/>
      <c r="H28" s="276"/>
      <c r="I28" s="276"/>
      <c r="J28" s="276"/>
      <c r="K28" s="276"/>
      <c r="L28" s="336"/>
      <c r="M28" s="276"/>
      <c r="N28" s="276"/>
      <c r="O28" s="276"/>
      <c r="P28" s="276"/>
      <c r="Q28" s="338"/>
      <c r="R28" s="277"/>
      <c r="S28" s="277"/>
      <c r="T28" s="277"/>
      <c r="U28" s="277"/>
      <c r="V28" s="277"/>
      <c r="W28" s="277"/>
      <c r="X28" s="278"/>
      <c r="Y28" s="291"/>
    </row>
    <row r="29" spans="2:26" s="142" customFormat="1">
      <c r="B29" s="143"/>
      <c r="C29" s="144"/>
      <c r="D29" s="62"/>
      <c r="E29" s="165"/>
      <c r="F29" s="295"/>
      <c r="H29" s="276"/>
      <c r="I29" s="276"/>
      <c r="J29" s="276"/>
      <c r="K29" s="276"/>
      <c r="L29" s="336"/>
      <c r="M29" s="276"/>
      <c r="N29" s="276"/>
      <c r="O29" s="276"/>
      <c r="P29" s="276"/>
      <c r="Q29" s="338"/>
      <c r="R29" s="277"/>
      <c r="S29" s="277"/>
      <c r="T29" s="277"/>
      <c r="U29" s="277"/>
      <c r="V29" s="277"/>
      <c r="W29" s="277"/>
      <c r="X29" s="278"/>
      <c r="Y29" s="291"/>
    </row>
    <row r="30" spans="2:26" s="142" customFormat="1">
      <c r="B30" s="143"/>
      <c r="C30" s="144"/>
      <c r="D30" s="62"/>
      <c r="E30" s="165"/>
      <c r="F30" s="295"/>
      <c r="H30" s="276"/>
      <c r="I30" s="276"/>
      <c r="J30" s="276"/>
      <c r="K30" s="276"/>
      <c r="L30" s="336"/>
      <c r="M30" s="276"/>
      <c r="N30" s="276"/>
      <c r="O30" s="276"/>
      <c r="P30" s="276"/>
      <c r="Q30" s="338"/>
      <c r="R30" s="277"/>
      <c r="S30" s="277"/>
      <c r="T30" s="277"/>
      <c r="U30" s="277"/>
      <c r="V30" s="277"/>
      <c r="W30" s="277"/>
      <c r="X30" s="278"/>
      <c r="Y30" s="291"/>
    </row>
    <row r="31" spans="2:26" s="142" customFormat="1">
      <c r="B31" s="143"/>
      <c r="C31" s="144"/>
      <c r="D31" s="62"/>
      <c r="E31" s="165"/>
      <c r="F31" s="295"/>
      <c r="H31" s="276"/>
      <c r="I31" s="276"/>
      <c r="J31" s="276"/>
      <c r="K31" s="276"/>
      <c r="L31" s="336"/>
      <c r="M31" s="276"/>
      <c r="N31" s="276"/>
      <c r="O31" s="276"/>
      <c r="P31" s="276"/>
      <c r="Q31" s="338"/>
      <c r="R31" s="277"/>
      <c r="S31" s="277"/>
      <c r="T31" s="277"/>
      <c r="U31" s="277"/>
      <c r="V31" s="277"/>
      <c r="W31" s="277"/>
      <c r="X31" s="278"/>
      <c r="Y31" s="291"/>
    </row>
    <row r="32" spans="2:26" s="142" customFormat="1">
      <c r="B32" s="143"/>
      <c r="C32" s="144"/>
      <c r="D32" s="62"/>
      <c r="E32" s="165"/>
      <c r="F32" s="295"/>
      <c r="H32" s="276"/>
      <c r="I32" s="276"/>
      <c r="J32" s="276"/>
      <c r="K32" s="276"/>
      <c r="L32" s="336"/>
      <c r="M32" s="276"/>
      <c r="N32" s="276"/>
      <c r="O32" s="276"/>
      <c r="P32" s="276"/>
      <c r="Q32" s="338"/>
      <c r="R32" s="277"/>
      <c r="S32" s="277"/>
      <c r="T32" s="277"/>
      <c r="U32" s="277"/>
      <c r="V32" s="277"/>
      <c r="W32" s="277"/>
      <c r="X32" s="278"/>
      <c r="Y32" s="291"/>
    </row>
    <row r="33" spans="2:25" s="142" customFormat="1">
      <c r="B33" s="143"/>
      <c r="C33" s="144"/>
      <c r="D33" s="62"/>
      <c r="E33" s="165"/>
      <c r="F33" s="295"/>
      <c r="H33" s="276"/>
      <c r="I33" s="276"/>
      <c r="J33" s="276"/>
      <c r="K33" s="276"/>
      <c r="L33" s="336"/>
      <c r="M33" s="276"/>
      <c r="N33" s="276"/>
      <c r="O33" s="276"/>
      <c r="P33" s="276"/>
      <c r="Q33" s="338"/>
      <c r="R33" s="277"/>
      <c r="S33" s="277"/>
      <c r="T33" s="277"/>
      <c r="U33" s="277"/>
      <c r="V33" s="277"/>
      <c r="W33" s="277"/>
      <c r="X33" s="278"/>
      <c r="Y33" s="291"/>
    </row>
    <row r="34" spans="2:25" s="142" customFormat="1">
      <c r="B34" s="143"/>
      <c r="C34" s="144"/>
      <c r="D34" s="62"/>
      <c r="E34" s="165"/>
      <c r="F34" s="295"/>
      <c r="H34" s="276"/>
      <c r="I34" s="276"/>
      <c r="J34" s="276"/>
      <c r="K34" s="276"/>
      <c r="L34" s="336"/>
      <c r="M34" s="276"/>
      <c r="N34" s="276"/>
      <c r="O34" s="276"/>
      <c r="P34" s="276"/>
      <c r="Q34" s="338"/>
      <c r="R34" s="277"/>
      <c r="S34" s="277"/>
      <c r="T34" s="277"/>
      <c r="U34" s="277"/>
      <c r="V34" s="277"/>
      <c r="W34" s="277"/>
      <c r="X34" s="278"/>
      <c r="Y34" s="291"/>
    </row>
    <row r="35" spans="2:25" s="142" customFormat="1">
      <c r="B35" s="143"/>
      <c r="C35" s="144"/>
      <c r="D35" s="62"/>
      <c r="E35" s="165"/>
      <c r="F35" s="295"/>
      <c r="H35" s="276"/>
      <c r="I35" s="276"/>
      <c r="J35" s="276"/>
      <c r="K35" s="276"/>
      <c r="L35" s="336"/>
      <c r="M35" s="276"/>
      <c r="N35" s="276"/>
      <c r="O35" s="276"/>
      <c r="P35" s="276"/>
      <c r="Q35" s="338"/>
      <c r="R35" s="277"/>
      <c r="S35" s="277"/>
      <c r="T35" s="277"/>
      <c r="U35" s="277"/>
      <c r="V35" s="277"/>
      <c r="W35" s="277"/>
      <c r="X35" s="278"/>
      <c r="Y35" s="291"/>
    </row>
    <row r="36" spans="2:25" s="142" customFormat="1">
      <c r="B36" s="143"/>
      <c r="C36" s="144"/>
      <c r="D36" s="62"/>
      <c r="E36" s="165"/>
      <c r="F36" s="295"/>
      <c r="H36" s="276"/>
      <c r="I36" s="276"/>
      <c r="J36" s="276"/>
      <c r="K36" s="276"/>
      <c r="L36" s="336"/>
      <c r="M36" s="276"/>
      <c r="N36" s="276"/>
      <c r="O36" s="276"/>
      <c r="P36" s="276"/>
      <c r="Q36" s="338"/>
      <c r="R36" s="277"/>
      <c r="S36" s="277"/>
      <c r="T36" s="277"/>
      <c r="U36" s="277"/>
      <c r="V36" s="277"/>
      <c r="W36" s="277"/>
      <c r="X36" s="278"/>
      <c r="Y36" s="291"/>
    </row>
    <row r="37" spans="2:25" s="142" customFormat="1">
      <c r="B37" s="143"/>
      <c r="C37" s="144"/>
      <c r="D37" s="62"/>
      <c r="E37" s="165"/>
      <c r="F37" s="295"/>
      <c r="H37" s="276"/>
      <c r="I37" s="276"/>
      <c r="J37" s="276"/>
      <c r="K37" s="276"/>
      <c r="L37" s="336"/>
      <c r="M37" s="276"/>
      <c r="N37" s="276"/>
      <c r="O37" s="276"/>
      <c r="P37" s="276"/>
      <c r="Q37" s="338"/>
      <c r="R37" s="277"/>
      <c r="S37" s="277"/>
      <c r="T37" s="277"/>
      <c r="U37" s="277"/>
      <c r="V37" s="277"/>
      <c r="W37" s="277"/>
      <c r="X37" s="278"/>
      <c r="Y37" s="291"/>
    </row>
    <row r="38" spans="2:25" s="142" customFormat="1">
      <c r="B38" s="143"/>
      <c r="C38" s="144"/>
      <c r="D38" s="62"/>
      <c r="E38" s="165"/>
      <c r="F38" s="295"/>
      <c r="H38" s="276"/>
      <c r="I38" s="276"/>
      <c r="J38" s="276"/>
      <c r="K38" s="276"/>
      <c r="L38" s="336"/>
      <c r="M38" s="276"/>
      <c r="N38" s="276"/>
      <c r="O38" s="276"/>
      <c r="P38" s="276"/>
      <c r="Q38" s="338"/>
      <c r="R38" s="277"/>
      <c r="S38" s="277"/>
      <c r="T38" s="277"/>
      <c r="U38" s="277"/>
      <c r="V38" s="277"/>
      <c r="W38" s="277"/>
      <c r="X38" s="278"/>
      <c r="Y38" s="291"/>
    </row>
    <row r="39" spans="2:25" s="142" customFormat="1">
      <c r="B39" s="143"/>
      <c r="C39" s="144"/>
      <c r="D39" s="62"/>
      <c r="E39" s="165"/>
      <c r="F39" s="295"/>
      <c r="H39" s="276"/>
      <c r="I39" s="276"/>
      <c r="J39" s="276"/>
      <c r="K39" s="276"/>
      <c r="L39" s="336"/>
      <c r="M39" s="276"/>
      <c r="N39" s="276"/>
      <c r="O39" s="276"/>
      <c r="P39" s="276"/>
      <c r="Q39" s="338"/>
      <c r="R39" s="277"/>
      <c r="S39" s="277"/>
      <c r="T39" s="277"/>
      <c r="U39" s="277"/>
      <c r="V39" s="277"/>
      <c r="W39" s="277"/>
      <c r="X39" s="278"/>
      <c r="Y39" s="291"/>
    </row>
    <row r="40" spans="2:25" s="142" customFormat="1">
      <c r="B40" s="143"/>
      <c r="C40" s="144"/>
      <c r="D40" s="62"/>
      <c r="E40" s="165"/>
      <c r="F40" s="295"/>
      <c r="H40" s="276"/>
      <c r="I40" s="276"/>
      <c r="J40" s="276"/>
      <c r="K40" s="276"/>
      <c r="L40" s="336"/>
      <c r="M40" s="276"/>
      <c r="N40" s="276"/>
      <c r="O40" s="276"/>
      <c r="P40" s="276"/>
      <c r="Q40" s="338"/>
      <c r="R40" s="277"/>
      <c r="S40" s="277"/>
      <c r="T40" s="277"/>
      <c r="U40" s="277"/>
      <c r="V40" s="277"/>
      <c r="W40" s="277"/>
      <c r="X40" s="278"/>
      <c r="Y40" s="291"/>
    </row>
    <row r="41" spans="2:25" s="142" customFormat="1">
      <c r="B41" s="143"/>
      <c r="C41" s="144"/>
      <c r="D41" s="62"/>
      <c r="E41" s="165"/>
      <c r="F41" s="295"/>
      <c r="H41" s="276"/>
      <c r="I41" s="276"/>
      <c r="J41" s="276"/>
      <c r="K41" s="276"/>
      <c r="L41" s="336"/>
      <c r="M41" s="276"/>
      <c r="N41" s="276"/>
      <c r="O41" s="276"/>
      <c r="P41" s="276"/>
      <c r="Q41" s="338"/>
      <c r="R41" s="277"/>
      <c r="S41" s="277"/>
      <c r="T41" s="277"/>
      <c r="U41" s="277"/>
      <c r="V41" s="277"/>
      <c r="W41" s="277"/>
      <c r="X41" s="278"/>
      <c r="Y41" s="291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ustomSheetViews>
    <customSheetView guid="{2AD71B1A-5547-4554-B6E7-4BAB59EA70EB}" scale="80" showGridLines="0" fitToPage="1" hiddenRows="1" hiddenColumns="1" topLeftCell="B1">
      <selection activeCell="B25" sqref="A25:XFD41"/>
      <pageMargins left="0.25" right="0.25" top="0.75" bottom="0.75" header="0.3" footer="0.3"/>
      <pageSetup paperSize="9" scale="49" orientation="landscape" r:id="rId1"/>
    </customSheetView>
  </customSheetViews>
  <conditionalFormatting sqref="F11:F41 H11:K41 M11:P41 R11:Y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2"/>
  <ignoredErrors>
    <ignoredError sqref="L11" formula="1"/>
    <ignoredError sqref="C13:C24 Q12:X24 F12:P24" unlockedFormula="1"/>
  </ignoredError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 xr:uid="{00000000-0002-0000-0500-000004000000}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U11" sqref="U11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bnNETZE GmbH</v>
      </c>
      <c r="D4" s="76"/>
      <c r="G4" s="76"/>
      <c r="I4" s="76"/>
      <c r="J4" s="77"/>
      <c r="M4" s="86" t="s">
        <v>533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bnNETZE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9800192200000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42644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65" t="s">
        <v>458</v>
      </c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70" t="s">
        <v>576</v>
      </c>
      <c r="C10" s="371"/>
      <c r="D10" s="94">
        <v>2</v>
      </c>
      <c r="E10" s="95" t="str">
        <f>IF(ISERROR(HLOOKUP(E$11,$M$9:$AD$33,$D10,0)),"",HLOOKUP(E$11,$M$9:$AD$33,$D10,0))</f>
        <v/>
      </c>
      <c r="F10" s="368" t="s">
        <v>397</v>
      </c>
      <c r="G10" s="368"/>
      <c r="H10" s="368"/>
      <c r="I10" s="368"/>
      <c r="J10" s="368"/>
      <c r="K10" s="368"/>
      <c r="L10" s="36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1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2">
        <f>MIN(SUMPRODUCT($M$11:$AD$11,M12:AD12),1)</f>
        <v>1</v>
      </c>
      <c r="F12" s="299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39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3">
        <f t="shared" ref="E13:E33" si="0">MIN(SUMPRODUCT($M$11:$AD$11,M13:AD13),1)</f>
        <v>1</v>
      </c>
      <c r="F13" s="300" t="s">
        <v>394</v>
      </c>
      <c r="G13" s="80" t="s">
        <v>394</v>
      </c>
      <c r="H13" s="80" t="s">
        <v>394</v>
      </c>
      <c r="I13" s="80" t="s">
        <v>394</v>
      </c>
      <c r="J13" s="80" t="s">
        <v>394</v>
      </c>
      <c r="K13" s="80" t="s">
        <v>394</v>
      </c>
      <c r="L13" s="81" t="s">
        <v>394</v>
      </c>
      <c r="M13" s="339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3">
        <f t="shared" si="0"/>
        <v>0</v>
      </c>
      <c r="F14" s="300" t="s">
        <v>394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39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650</v>
      </c>
      <c r="C15" s="116"/>
      <c r="D15" s="111">
        <v>7</v>
      </c>
      <c r="E15" s="303">
        <f t="shared" si="0"/>
        <v>0</v>
      </c>
      <c r="F15" s="300" t="s">
        <v>401</v>
      </c>
      <c r="G15" s="80" t="s">
        <v>393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39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3">
        <f t="shared" si="0"/>
        <v>1</v>
      </c>
      <c r="F16" s="300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39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3">
        <f t="shared" si="0"/>
        <v>1</v>
      </c>
      <c r="F17" s="300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39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3">
        <f t="shared" si="0"/>
        <v>1</v>
      </c>
      <c r="F18" s="300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39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3">
        <f t="shared" si="0"/>
        <v>1</v>
      </c>
      <c r="F19" s="300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39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643</v>
      </c>
      <c r="C20" s="116"/>
      <c r="D20" s="111">
        <v>12</v>
      </c>
      <c r="E20" s="303">
        <f t="shared" si="0"/>
        <v>1</v>
      </c>
      <c r="F20" s="300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39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3">
        <f t="shared" si="0"/>
        <v>1</v>
      </c>
      <c r="F21" s="300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39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3">
        <f t="shared" si="0"/>
        <v>1</v>
      </c>
      <c r="F22" s="300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39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649</v>
      </c>
      <c r="C23" s="116"/>
      <c r="D23" s="111">
        <v>15</v>
      </c>
      <c r="E23" s="303">
        <f t="shared" si="0"/>
        <v>1</v>
      </c>
      <c r="F23" s="300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39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3">
        <f t="shared" si="0"/>
        <v>0</v>
      </c>
      <c r="F24" s="300" t="s">
        <v>394</v>
      </c>
      <c r="G24" s="80" t="s">
        <v>394</v>
      </c>
      <c r="H24" s="80" t="s">
        <v>394</v>
      </c>
      <c r="I24" s="80" t="s">
        <v>394</v>
      </c>
      <c r="J24" s="80" t="s">
        <v>394</v>
      </c>
      <c r="K24" s="80" t="s">
        <v>394</v>
      </c>
      <c r="L24" s="81" t="s">
        <v>394</v>
      </c>
      <c r="M24" s="339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3">
        <f t="shared" si="0"/>
        <v>0</v>
      </c>
      <c r="F25" s="300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39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3">
        <f t="shared" si="0"/>
        <v>1</v>
      </c>
      <c r="F26" s="300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39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3">
        <f t="shared" si="0"/>
        <v>0</v>
      </c>
      <c r="F27" s="300" t="s">
        <v>394</v>
      </c>
      <c r="G27" s="80" t="s">
        <v>394</v>
      </c>
      <c r="H27" s="80" t="s">
        <v>394</v>
      </c>
      <c r="I27" s="80" t="s">
        <v>394</v>
      </c>
      <c r="J27" s="80" t="s">
        <v>394</v>
      </c>
      <c r="K27" s="80" t="s">
        <v>394</v>
      </c>
      <c r="L27" s="81" t="s">
        <v>394</v>
      </c>
      <c r="M27" s="339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3">
        <f t="shared" si="0"/>
        <v>1</v>
      </c>
      <c r="F28" s="300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39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3">
        <f t="shared" si="0"/>
        <v>0</v>
      </c>
      <c r="F29" s="300" t="s">
        <v>401</v>
      </c>
      <c r="G29" s="80" t="s">
        <v>401</v>
      </c>
      <c r="H29" s="80" t="s">
        <v>394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39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3">
        <f t="shared" si="0"/>
        <v>0</v>
      </c>
      <c r="F30" s="300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39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3">
        <f t="shared" si="0"/>
        <v>1</v>
      </c>
      <c r="F31" s="300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39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3">
        <f t="shared" si="0"/>
        <v>1</v>
      </c>
      <c r="F32" s="300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39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4">
        <f t="shared" si="0"/>
        <v>0</v>
      </c>
      <c r="F33" s="301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0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customSheetViews>
    <customSheetView guid="{2AD71B1A-5547-4554-B6E7-4BAB59EA70EB}" scale="80" showGridLines="0" fitToPage="1" hiddenRows="1" hiddenColumns="1">
      <selection activeCell="U11" sqref="U11"/>
      <pageMargins left="0.25" right="0.25" top="0.75" bottom="0.75" header="0.3" footer="0.3"/>
      <pageSetup paperSize="9" scale="63" orientation="landscape" r:id="rId1"/>
      <headerFooter alignWithMargins="0"/>
    </customSheetView>
  </customSheetViews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zoomScale="80" zoomScaleNormal="80" workbookViewId="0">
      <selection activeCell="A2" sqref="A2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454</v>
      </c>
      <c r="F1" s="213" t="s">
        <v>539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5">
        <v>3.0469694600000001</v>
      </c>
      <c r="F3" s="306">
        <v>-37.183314129999999</v>
      </c>
      <c r="G3" s="305">
        <v>5.6727846619999998</v>
      </c>
      <c r="H3" s="305">
        <v>9.6193059999999997E-2</v>
      </c>
      <c r="I3" s="307">
        <v>40</v>
      </c>
      <c r="J3" s="308">
        <v>0</v>
      </c>
      <c r="K3" s="308">
        <v>0</v>
      </c>
      <c r="L3" s="308">
        <v>0</v>
      </c>
      <c r="M3" s="309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5">
        <v>3.1850191300000001</v>
      </c>
      <c r="F4" s="305">
        <v>-37.412415490000001</v>
      </c>
      <c r="G4" s="305">
        <v>6.1723178729999999</v>
      </c>
      <c r="H4" s="305">
        <v>7.6109594000000003E-2</v>
      </c>
      <c r="I4" s="307">
        <v>40</v>
      </c>
      <c r="J4" s="308">
        <v>0</v>
      </c>
      <c r="K4" s="308">
        <v>0</v>
      </c>
      <c r="L4" s="308">
        <v>0</v>
      </c>
      <c r="M4" s="309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5">
        <v>3.3456666720000001</v>
      </c>
      <c r="F5" s="305">
        <v>-37.52683159</v>
      </c>
      <c r="G5" s="305">
        <v>6.4328936829999996</v>
      </c>
      <c r="H5" s="305">
        <v>5.6256618000000001E-2</v>
      </c>
      <c r="I5" s="307">
        <v>40</v>
      </c>
      <c r="J5" s="308">
        <v>0</v>
      </c>
      <c r="K5" s="308">
        <v>0</v>
      </c>
      <c r="L5" s="308">
        <v>0</v>
      </c>
      <c r="M5" s="309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0">
        <v>1.6209544222121799</v>
      </c>
      <c r="F6" s="310">
        <v>-37.183314129999999</v>
      </c>
      <c r="G6" s="310">
        <v>5.6727846619999998</v>
      </c>
      <c r="H6" s="310">
        <v>7.16431179426293E-2</v>
      </c>
      <c r="I6" s="311">
        <v>40</v>
      </c>
      <c r="J6" s="312">
        <v>-4.9570015603147999E-2</v>
      </c>
      <c r="K6" s="312">
        <v>0.84010145808052905</v>
      </c>
      <c r="L6" s="312">
        <v>-2.20902646706885E-3</v>
      </c>
      <c r="M6" s="313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4">
        <v>1.3819663042902499</v>
      </c>
      <c r="F7" s="314">
        <v>-37.412415490000001</v>
      </c>
      <c r="G7" s="314">
        <v>6.1723178729999999</v>
      </c>
      <c r="H7" s="314">
        <v>3.9628356395288999E-2</v>
      </c>
      <c r="I7" s="315">
        <v>40</v>
      </c>
      <c r="J7" s="316">
        <v>-6.7215872937749402E-2</v>
      </c>
      <c r="K7" s="316">
        <v>1.1167138385159201</v>
      </c>
      <c r="L7" s="316">
        <v>-1.9981647687711602E-3</v>
      </c>
      <c r="M7" s="317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5">
        <v>2.387761791</v>
      </c>
      <c r="F8" s="305">
        <v>-34.721360509999997</v>
      </c>
      <c r="G8" s="305">
        <v>5.8164304019999999</v>
      </c>
      <c r="H8" s="305">
        <v>0.120819368</v>
      </c>
      <c r="I8" s="307">
        <v>40</v>
      </c>
      <c r="J8" s="308">
        <v>0</v>
      </c>
      <c r="K8" s="308">
        <v>0</v>
      </c>
      <c r="L8" s="308">
        <v>0</v>
      </c>
      <c r="M8" s="309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5">
        <v>2.5187775189999999</v>
      </c>
      <c r="F9" s="305">
        <v>-35.033375419999999</v>
      </c>
      <c r="G9" s="305">
        <v>6.224063396</v>
      </c>
      <c r="H9" s="305">
        <v>0.10107817199999999</v>
      </c>
      <c r="I9" s="307">
        <v>40</v>
      </c>
      <c r="J9" s="308">
        <v>0</v>
      </c>
      <c r="K9" s="308">
        <v>0</v>
      </c>
      <c r="L9" s="308">
        <v>0</v>
      </c>
      <c r="M9" s="309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5">
        <v>2.656440592</v>
      </c>
      <c r="F10" s="305">
        <v>-35.251692669999997</v>
      </c>
      <c r="G10" s="305">
        <v>6.5182658619999998</v>
      </c>
      <c r="H10" s="305">
        <v>8.1205866000000002E-2</v>
      </c>
      <c r="I10" s="307">
        <v>40</v>
      </c>
      <c r="J10" s="308">
        <v>0</v>
      </c>
      <c r="K10" s="308">
        <v>0</v>
      </c>
      <c r="L10" s="308">
        <v>0</v>
      </c>
      <c r="M10" s="309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0">
        <v>1.2328654654123199</v>
      </c>
      <c r="F11" s="310">
        <v>-34.721360509999997</v>
      </c>
      <c r="G11" s="310">
        <v>5.8164304019999999</v>
      </c>
      <c r="H11" s="310">
        <v>8.7335193020600194E-2</v>
      </c>
      <c r="I11" s="311">
        <v>40</v>
      </c>
      <c r="J11" s="312">
        <v>-4.0928399400390697E-2</v>
      </c>
      <c r="K11" s="312">
        <v>0.76729203945074098</v>
      </c>
      <c r="L11" s="312">
        <v>-2.23202741619469E-3</v>
      </c>
      <c r="M11" s="313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4">
        <v>1.0443537680583199</v>
      </c>
      <c r="F12" s="314">
        <v>-35.033375419999999</v>
      </c>
      <c r="G12" s="314">
        <v>6.224063396</v>
      </c>
      <c r="H12" s="314">
        <v>5.0291716040989698E-2</v>
      </c>
      <c r="I12" s="315">
        <v>40</v>
      </c>
      <c r="J12" s="316">
        <v>-5.3583022235768898E-2</v>
      </c>
      <c r="K12" s="316">
        <v>0.99959009039973401</v>
      </c>
      <c r="L12" s="316">
        <v>-2.17584483209612E-3</v>
      </c>
      <c r="M12" s="317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3" t="s">
        <v>646</v>
      </c>
      <c r="E13" s="305">
        <v>0.40409319999999999</v>
      </c>
      <c r="F13" s="305">
        <v>-24.439296800000001</v>
      </c>
      <c r="G13" s="305">
        <v>6.5718174999999999</v>
      </c>
      <c r="H13" s="305">
        <v>0.71077100000000004</v>
      </c>
      <c r="I13" s="307">
        <v>40</v>
      </c>
      <c r="J13" s="308">
        <v>0</v>
      </c>
      <c r="K13" s="308">
        <v>0</v>
      </c>
      <c r="L13" s="308">
        <v>0</v>
      </c>
      <c r="M13" s="309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5">
        <v>1.8644533640000001</v>
      </c>
      <c r="F14" s="305">
        <v>-30.707163250000001</v>
      </c>
      <c r="G14" s="305">
        <v>6.4626937309999999</v>
      </c>
      <c r="H14" s="305">
        <v>0.104833866</v>
      </c>
      <c r="I14" s="307">
        <v>40</v>
      </c>
      <c r="J14" s="308">
        <v>0</v>
      </c>
      <c r="K14" s="308">
        <v>0</v>
      </c>
      <c r="L14" s="308">
        <v>0</v>
      </c>
      <c r="M14" s="309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5">
        <v>2.2908183860000002</v>
      </c>
      <c r="F15" s="305">
        <v>-33.147686729999997</v>
      </c>
      <c r="G15" s="305">
        <v>6.3714765040000003</v>
      </c>
      <c r="H15" s="305">
        <v>8.1002321000000002E-2</v>
      </c>
      <c r="I15" s="307">
        <v>40</v>
      </c>
      <c r="J15" s="308">
        <v>0</v>
      </c>
      <c r="K15" s="308">
        <v>0</v>
      </c>
      <c r="L15" s="308">
        <v>0</v>
      </c>
      <c r="M15" s="309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5">
        <v>2.7882423940000001</v>
      </c>
      <c r="F16" s="305">
        <v>-34.880613019999998</v>
      </c>
      <c r="G16" s="305">
        <v>6.5951899220000003</v>
      </c>
      <c r="H16" s="305">
        <v>5.4032911000000003E-2</v>
      </c>
      <c r="I16" s="307">
        <v>40</v>
      </c>
      <c r="J16" s="308">
        <v>0</v>
      </c>
      <c r="K16" s="308">
        <v>0</v>
      </c>
      <c r="L16" s="308">
        <v>0</v>
      </c>
      <c r="M16" s="309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5">
        <v>3.117724811</v>
      </c>
      <c r="F17" s="305">
        <v>-35.871506220000001</v>
      </c>
      <c r="G17" s="305">
        <v>7.5186828869999998</v>
      </c>
      <c r="H17" s="305">
        <v>3.4330092999999999E-2</v>
      </c>
      <c r="I17" s="307">
        <v>40</v>
      </c>
      <c r="J17" s="308">
        <v>0</v>
      </c>
      <c r="K17" s="308">
        <v>0</v>
      </c>
      <c r="L17" s="308">
        <v>0</v>
      </c>
      <c r="M17" s="309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5">
        <v>3.5862355250000002</v>
      </c>
      <c r="F18" s="305">
        <v>-37.080299349999997</v>
      </c>
      <c r="G18" s="305">
        <v>8.2420571759999994</v>
      </c>
      <c r="H18" s="305">
        <v>1.4600757000000001E-2</v>
      </c>
      <c r="I18" s="307">
        <v>40</v>
      </c>
      <c r="J18" s="308">
        <v>0</v>
      </c>
      <c r="K18" s="308">
        <v>0</v>
      </c>
      <c r="L18" s="308">
        <v>0</v>
      </c>
      <c r="M18" s="309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0">
        <v>1.42024191542431</v>
      </c>
      <c r="F19" s="310">
        <v>-34.880613019999998</v>
      </c>
      <c r="G19" s="310">
        <v>6.5951899220000003</v>
      </c>
      <c r="H19" s="310">
        <v>3.8531702714088997E-2</v>
      </c>
      <c r="I19" s="311">
        <v>40</v>
      </c>
      <c r="J19" s="312">
        <v>-5.2108424079363599E-2</v>
      </c>
      <c r="K19" s="312">
        <v>0.86479187369647303</v>
      </c>
      <c r="L19" s="312">
        <v>-1.43692105046127E-3</v>
      </c>
      <c r="M19" s="313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4">
        <v>1.3284912834142599</v>
      </c>
      <c r="F20" s="314">
        <v>-35.871506220000001</v>
      </c>
      <c r="G20" s="314">
        <v>7.5186828869999998</v>
      </c>
      <c r="H20" s="314">
        <v>1.7554042928377402E-2</v>
      </c>
      <c r="I20" s="315">
        <v>40</v>
      </c>
      <c r="J20" s="316">
        <v>-7.5898278738419894E-2</v>
      </c>
      <c r="K20" s="316">
        <v>1.1942554985979099</v>
      </c>
      <c r="L20" s="316">
        <v>-8.9798095264275E-4</v>
      </c>
      <c r="M20" s="317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5">
        <v>2.3742827709999998</v>
      </c>
      <c r="F21" s="305">
        <v>-34.759550140000002</v>
      </c>
      <c r="G21" s="305">
        <v>5.9987036829999996</v>
      </c>
      <c r="H21" s="305">
        <v>0.149441144</v>
      </c>
      <c r="I21" s="307">
        <v>40</v>
      </c>
      <c r="J21" s="308">
        <v>0</v>
      </c>
      <c r="K21" s="308">
        <v>0</v>
      </c>
      <c r="L21" s="308">
        <v>0</v>
      </c>
      <c r="M21" s="309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5">
        <v>2.8544748530000001</v>
      </c>
      <c r="F22" s="305">
        <v>-35.629423080000002</v>
      </c>
      <c r="G22" s="305">
        <v>7.0058264430000001</v>
      </c>
      <c r="H22" s="305">
        <v>0.11647722100000001</v>
      </c>
      <c r="I22" s="307">
        <v>40</v>
      </c>
      <c r="J22" s="308">
        <v>0</v>
      </c>
      <c r="K22" s="308">
        <v>0</v>
      </c>
      <c r="L22" s="308">
        <v>0</v>
      </c>
      <c r="M22" s="309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5">
        <v>3.58112137</v>
      </c>
      <c r="F23" s="305">
        <v>-36.965006520000003</v>
      </c>
      <c r="G23" s="305">
        <v>7.2256946710000003</v>
      </c>
      <c r="H23" s="305">
        <v>4.4841566999999999E-2</v>
      </c>
      <c r="I23" s="307">
        <v>40</v>
      </c>
      <c r="J23" s="308">
        <v>0</v>
      </c>
      <c r="K23" s="308">
        <v>0</v>
      </c>
      <c r="L23" s="308">
        <v>0</v>
      </c>
      <c r="M23" s="309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5">
        <v>4.0196902039999998</v>
      </c>
      <c r="F24" s="305">
        <v>-37.82820366</v>
      </c>
      <c r="G24" s="305">
        <v>8.1593368759999994</v>
      </c>
      <c r="H24" s="305">
        <v>4.7284495000000003E-2</v>
      </c>
      <c r="I24" s="307">
        <v>40</v>
      </c>
      <c r="J24" s="308">
        <v>0</v>
      </c>
      <c r="K24" s="308">
        <v>0</v>
      </c>
      <c r="L24" s="308">
        <v>0</v>
      </c>
      <c r="M24" s="309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5">
        <v>4.8252375660000002</v>
      </c>
      <c r="F25" s="305">
        <v>-39.280256399999999</v>
      </c>
      <c r="G25" s="305">
        <v>8.6240216889999992</v>
      </c>
      <c r="H25" s="305">
        <v>9.9944630000000003E-3</v>
      </c>
      <c r="I25" s="307">
        <v>40</v>
      </c>
      <c r="J25" s="308">
        <v>0</v>
      </c>
      <c r="K25" s="308">
        <v>0</v>
      </c>
      <c r="L25" s="308">
        <v>0</v>
      </c>
      <c r="M25" s="309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0">
        <v>1.9724775375047101</v>
      </c>
      <c r="F26" s="310">
        <v>-36.965006520000003</v>
      </c>
      <c r="G26" s="310">
        <v>7.2256946710000003</v>
      </c>
      <c r="H26" s="310">
        <v>3.45781570412447E-2</v>
      </c>
      <c r="I26" s="311">
        <v>40</v>
      </c>
      <c r="J26" s="312">
        <v>-7.42174022298938E-2</v>
      </c>
      <c r="K26" s="312">
        <v>1.04488686764057</v>
      </c>
      <c r="L26" s="312">
        <v>-8.2954472023944598E-4</v>
      </c>
      <c r="M26" s="313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4">
        <v>1.8398455179509201</v>
      </c>
      <c r="F27" s="314">
        <v>-37.82820366</v>
      </c>
      <c r="G27" s="314">
        <v>8.1593368759999994</v>
      </c>
      <c r="H27" s="314">
        <v>2.5971006255482799E-2</v>
      </c>
      <c r="I27" s="315">
        <v>40</v>
      </c>
      <c r="J27" s="316">
        <v>-0.10692617459680499</v>
      </c>
      <c r="K27" s="316">
        <v>1.45522403984838</v>
      </c>
      <c r="L27" s="316">
        <v>-4.9197263527907199E-4</v>
      </c>
      <c r="M27" s="317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5">
        <v>1.415957087</v>
      </c>
      <c r="F28" s="305">
        <v>-30.842519159999998</v>
      </c>
      <c r="G28" s="305">
        <v>6.3467557010000002</v>
      </c>
      <c r="H28" s="305">
        <v>0.32117906499999999</v>
      </c>
      <c r="I28" s="307">
        <v>40</v>
      </c>
      <c r="J28" s="308">
        <v>0</v>
      </c>
      <c r="K28" s="308">
        <v>0</v>
      </c>
      <c r="L28" s="308">
        <v>0</v>
      </c>
      <c r="M28" s="309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5">
        <v>2.0660500700000002</v>
      </c>
      <c r="F29" s="305">
        <v>-33.601652029999997</v>
      </c>
      <c r="G29" s="305">
        <v>6.675360994</v>
      </c>
      <c r="H29" s="305">
        <v>0.23091246800000001</v>
      </c>
      <c r="I29" s="307">
        <v>40</v>
      </c>
      <c r="J29" s="308">
        <v>0</v>
      </c>
      <c r="K29" s="308">
        <v>0</v>
      </c>
      <c r="L29" s="308">
        <v>0</v>
      </c>
      <c r="M29" s="309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5">
        <v>2.7172288440000001</v>
      </c>
      <c r="F30" s="305">
        <v>-35.141256310000003</v>
      </c>
      <c r="G30" s="305">
        <v>7.1303395089999997</v>
      </c>
      <c r="H30" s="305">
        <v>0.14184716999999999</v>
      </c>
      <c r="I30" s="307">
        <v>40</v>
      </c>
      <c r="J30" s="308">
        <v>0</v>
      </c>
      <c r="K30" s="308">
        <v>0</v>
      </c>
      <c r="L30" s="308">
        <v>0</v>
      </c>
      <c r="M30" s="309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5">
        <v>3.4428942870000001</v>
      </c>
      <c r="F31" s="305">
        <v>-36.659050409999999</v>
      </c>
      <c r="G31" s="305">
        <v>7.6083226159999997</v>
      </c>
      <c r="H31" s="305">
        <v>7.4685009999999996E-2</v>
      </c>
      <c r="I31" s="307">
        <v>40</v>
      </c>
      <c r="J31" s="308">
        <v>0</v>
      </c>
      <c r="K31" s="308">
        <v>0</v>
      </c>
      <c r="L31" s="308">
        <v>0</v>
      </c>
      <c r="M31" s="309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5">
        <v>4.3624833000000001</v>
      </c>
      <c r="F32" s="305">
        <v>-38.663402159999997</v>
      </c>
      <c r="G32" s="305">
        <v>7.5974644280000003</v>
      </c>
      <c r="H32" s="305">
        <v>8.3264180000000004E-3</v>
      </c>
      <c r="I32" s="307">
        <v>40</v>
      </c>
      <c r="J32" s="308">
        <v>0</v>
      </c>
      <c r="K32" s="308">
        <v>0</v>
      </c>
      <c r="L32" s="308">
        <v>0</v>
      </c>
      <c r="M32" s="309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0">
        <v>1.3554515228930799</v>
      </c>
      <c r="F33" s="310">
        <v>-35.141256310000003</v>
      </c>
      <c r="G33" s="310">
        <v>7.1303395089999997</v>
      </c>
      <c r="H33" s="310">
        <v>9.9061861582536506E-2</v>
      </c>
      <c r="I33" s="311">
        <v>40</v>
      </c>
      <c r="J33" s="312">
        <v>-5.2648691429529201E-2</v>
      </c>
      <c r="K33" s="312">
        <v>0.86260857514223399</v>
      </c>
      <c r="L33" s="312">
        <v>-8.8083895602660196E-4</v>
      </c>
      <c r="M33" s="313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4">
        <v>1.4256683872017999</v>
      </c>
      <c r="F34" s="314">
        <v>-36.659050409999999</v>
      </c>
      <c r="G34" s="314">
        <v>7.6083226159999997</v>
      </c>
      <c r="H34" s="314">
        <v>3.7111586547478703E-2</v>
      </c>
      <c r="I34" s="315">
        <v>40</v>
      </c>
      <c r="J34" s="316">
        <v>-8.0935893022415106E-2</v>
      </c>
      <c r="K34" s="316">
        <v>1.2364527018259801</v>
      </c>
      <c r="L34" s="316">
        <v>-7.6279966642852303E-4</v>
      </c>
      <c r="M34" s="317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5">
        <v>1.2903504589999999</v>
      </c>
      <c r="F35" s="305">
        <v>-35.234986829999997</v>
      </c>
      <c r="G35" s="305">
        <v>2.1064246880000002</v>
      </c>
      <c r="H35" s="305">
        <v>0.45572533300000001</v>
      </c>
      <c r="I35" s="307">
        <v>40</v>
      </c>
      <c r="J35" s="308">
        <v>0</v>
      </c>
      <c r="K35" s="308">
        <v>0</v>
      </c>
      <c r="L35" s="308">
        <v>0</v>
      </c>
      <c r="M35" s="309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5">
        <v>2.1095878429999999</v>
      </c>
      <c r="F36" s="305">
        <v>-35.84445084</v>
      </c>
      <c r="G36" s="305">
        <v>5.2154672279999996</v>
      </c>
      <c r="H36" s="305">
        <v>0.28545825400000002</v>
      </c>
      <c r="I36" s="307">
        <v>40</v>
      </c>
      <c r="J36" s="308">
        <v>0</v>
      </c>
      <c r="K36" s="308">
        <v>0</v>
      </c>
      <c r="L36" s="308">
        <v>0</v>
      </c>
      <c r="M36" s="309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5">
        <v>2.917702722</v>
      </c>
      <c r="F37" s="305">
        <v>-36.179411649999999</v>
      </c>
      <c r="G37" s="305">
        <v>5.9265161649999998</v>
      </c>
      <c r="H37" s="305">
        <v>0.11519117600000001</v>
      </c>
      <c r="I37" s="307">
        <v>40</v>
      </c>
      <c r="J37" s="308">
        <v>0</v>
      </c>
      <c r="K37" s="308">
        <v>0</v>
      </c>
      <c r="L37" s="308">
        <v>0</v>
      </c>
      <c r="M37" s="309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5">
        <v>3.75</v>
      </c>
      <c r="F38" s="305">
        <v>-37.5</v>
      </c>
      <c r="G38" s="305">
        <v>6.8</v>
      </c>
      <c r="H38" s="305">
        <v>6.0911264999999999E-2</v>
      </c>
      <c r="I38" s="307">
        <v>40</v>
      </c>
      <c r="J38" s="308">
        <v>0</v>
      </c>
      <c r="K38" s="308">
        <v>0</v>
      </c>
      <c r="L38" s="308">
        <v>0</v>
      </c>
      <c r="M38" s="309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5">
        <v>4.5699505650000001</v>
      </c>
      <c r="F39" s="305">
        <v>-38.535339239999999</v>
      </c>
      <c r="G39" s="305">
        <v>7.5976990989999997</v>
      </c>
      <c r="H39" s="305">
        <v>6.6313539999999999E-3</v>
      </c>
      <c r="I39" s="307">
        <v>40</v>
      </c>
      <c r="J39" s="308">
        <v>0</v>
      </c>
      <c r="K39" s="308">
        <v>0</v>
      </c>
      <c r="L39" s="308">
        <v>0</v>
      </c>
      <c r="M39" s="309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0">
        <v>1.4633681573374999</v>
      </c>
      <c r="F40" s="310">
        <v>-36.179411649999999</v>
      </c>
      <c r="G40" s="310">
        <v>5.9265161649999998</v>
      </c>
      <c r="H40" s="310">
        <v>8.08834761578303E-2</v>
      </c>
      <c r="I40" s="311">
        <v>40</v>
      </c>
      <c r="J40" s="312">
        <v>-4.7579990370695997E-2</v>
      </c>
      <c r="K40" s="312">
        <v>0.82307541850402</v>
      </c>
      <c r="L40" s="312">
        <v>-1.92725690584626E-3</v>
      </c>
      <c r="M40" s="313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4">
        <v>1.5175791604409099</v>
      </c>
      <c r="F41" s="314">
        <v>-37.5</v>
      </c>
      <c r="G41" s="314">
        <v>6.8</v>
      </c>
      <c r="H41" s="314">
        <v>2.9580053248030098E-2</v>
      </c>
      <c r="I41" s="315">
        <v>40</v>
      </c>
      <c r="J41" s="316">
        <v>-7.8855918399573705E-2</v>
      </c>
      <c r="K41" s="316">
        <v>1.21612498767079</v>
      </c>
      <c r="L41" s="316">
        <v>-1.31336800852578E-3</v>
      </c>
      <c r="M41" s="317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5">
        <v>1.177034538</v>
      </c>
      <c r="F42" s="305">
        <v>-39.159991400000003</v>
      </c>
      <c r="G42" s="305">
        <v>4.2076109639999997</v>
      </c>
      <c r="H42" s="305">
        <v>0.66047393200000004</v>
      </c>
      <c r="I42" s="307">
        <v>40</v>
      </c>
      <c r="J42" s="308">
        <v>0</v>
      </c>
      <c r="K42" s="308">
        <v>0</v>
      </c>
      <c r="L42" s="308">
        <v>0</v>
      </c>
      <c r="M42" s="309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5">
        <v>1.648762294</v>
      </c>
      <c r="F43" s="305">
        <v>-36.399273569999998</v>
      </c>
      <c r="G43" s="305">
        <v>6.2149172090000002</v>
      </c>
      <c r="H43" s="305">
        <v>0.48776373299999998</v>
      </c>
      <c r="I43" s="307">
        <v>40</v>
      </c>
      <c r="J43" s="308">
        <v>0</v>
      </c>
      <c r="K43" s="308">
        <v>0</v>
      </c>
      <c r="L43" s="308">
        <v>0</v>
      </c>
      <c r="M43" s="309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5">
        <v>2.2850164739999999</v>
      </c>
      <c r="F44" s="305">
        <v>-36.287858389999997</v>
      </c>
      <c r="G44" s="305">
        <v>6.5885126390000002</v>
      </c>
      <c r="H44" s="305">
        <v>0.31505353400000002</v>
      </c>
      <c r="I44" s="307">
        <v>40</v>
      </c>
      <c r="J44" s="308">
        <v>0</v>
      </c>
      <c r="K44" s="308">
        <v>0</v>
      </c>
      <c r="L44" s="308">
        <v>0</v>
      </c>
      <c r="M44" s="309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5">
        <v>2.8195656150000001</v>
      </c>
      <c r="F45" s="305">
        <v>-36</v>
      </c>
      <c r="G45" s="305">
        <v>7.7368517680000002</v>
      </c>
      <c r="H45" s="305">
        <v>0.15728097999999999</v>
      </c>
      <c r="I45" s="307">
        <v>40</v>
      </c>
      <c r="J45" s="308">
        <v>0</v>
      </c>
      <c r="K45" s="308">
        <v>0</v>
      </c>
      <c r="L45" s="308">
        <v>0</v>
      </c>
      <c r="M45" s="309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5">
        <v>3.3295574819999998</v>
      </c>
      <c r="F46" s="305">
        <v>-36.014621120000001</v>
      </c>
      <c r="G46" s="305">
        <v>8.7767464709999992</v>
      </c>
      <c r="H46" s="305">
        <v>0</v>
      </c>
      <c r="I46" s="307">
        <v>40</v>
      </c>
      <c r="J46" s="308">
        <v>0</v>
      </c>
      <c r="K46" s="308">
        <v>0</v>
      </c>
      <c r="L46" s="308">
        <v>0</v>
      </c>
      <c r="M46" s="309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0">
        <v>1.15820816823062</v>
      </c>
      <c r="F47" s="310">
        <v>-36.287858389999997</v>
      </c>
      <c r="G47" s="310">
        <v>6.5885126390000002</v>
      </c>
      <c r="H47" s="310">
        <v>0.223568019279065</v>
      </c>
      <c r="I47" s="311">
        <v>40</v>
      </c>
      <c r="J47" s="312">
        <v>-4.1033478424869901E-2</v>
      </c>
      <c r="K47" s="312">
        <v>0.75264513854265702</v>
      </c>
      <c r="L47" s="312">
        <v>-9.0876855297962304E-4</v>
      </c>
      <c r="M47" s="313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4">
        <v>1.18483197659357</v>
      </c>
      <c r="F48" s="314">
        <v>-36</v>
      </c>
      <c r="G48" s="314">
        <v>7.7368517680000002</v>
      </c>
      <c r="H48" s="314">
        <v>7.9310742089883396E-2</v>
      </c>
      <c r="I48" s="315">
        <v>40</v>
      </c>
      <c r="J48" s="316">
        <v>-6.8738315813288001E-2</v>
      </c>
      <c r="K48" s="316">
        <v>1.1308570050851501</v>
      </c>
      <c r="L48" s="316">
        <v>-6.58695704968982E-4</v>
      </c>
      <c r="M48" s="317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5">
        <v>1.4771785690000001</v>
      </c>
      <c r="F49" s="305">
        <v>-35.083444710000002</v>
      </c>
      <c r="G49" s="305">
        <v>5.412342465</v>
      </c>
      <c r="H49" s="305">
        <v>0.47442640800000002</v>
      </c>
      <c r="I49" s="307">
        <v>40</v>
      </c>
      <c r="J49" s="308">
        <v>0</v>
      </c>
      <c r="K49" s="308">
        <v>0</v>
      </c>
      <c r="L49" s="308">
        <v>0</v>
      </c>
      <c r="M49" s="309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5">
        <v>1.70052794</v>
      </c>
      <c r="F50" s="305">
        <v>-35.15</v>
      </c>
      <c r="G50" s="305">
        <v>6.1632738509999996</v>
      </c>
      <c r="H50" s="305">
        <v>0.42982608500000002</v>
      </c>
      <c r="I50" s="307">
        <v>40</v>
      </c>
      <c r="J50" s="308">
        <v>0</v>
      </c>
      <c r="K50" s="308">
        <v>0</v>
      </c>
      <c r="L50" s="308">
        <v>0</v>
      </c>
      <c r="M50" s="309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5">
        <v>2.0102471730000002</v>
      </c>
      <c r="F51" s="305">
        <v>-35.253212349999998</v>
      </c>
      <c r="G51" s="305">
        <v>6.1544406409999999</v>
      </c>
      <c r="H51" s="305">
        <v>0.32947409700000002</v>
      </c>
      <c r="I51" s="307">
        <v>40</v>
      </c>
      <c r="J51" s="308">
        <v>0</v>
      </c>
      <c r="K51" s="308">
        <v>0</v>
      </c>
      <c r="L51" s="308">
        <v>0</v>
      </c>
      <c r="M51" s="309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5">
        <v>2.4595180609999998</v>
      </c>
      <c r="F52" s="305">
        <v>-35.253212349999998</v>
      </c>
      <c r="G52" s="305">
        <v>6.0587000719999997</v>
      </c>
      <c r="H52" s="305">
        <v>0.164737049</v>
      </c>
      <c r="I52" s="307">
        <v>40</v>
      </c>
      <c r="J52" s="308">
        <v>0</v>
      </c>
      <c r="K52" s="308">
        <v>0</v>
      </c>
      <c r="L52" s="308">
        <v>0</v>
      </c>
      <c r="M52" s="309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5">
        <v>2.98</v>
      </c>
      <c r="F53" s="305">
        <v>-35.799999999999997</v>
      </c>
      <c r="G53" s="305">
        <v>5.6340580620000003</v>
      </c>
      <c r="H53" s="305">
        <v>0</v>
      </c>
      <c r="I53" s="307">
        <v>40</v>
      </c>
      <c r="J53" s="308">
        <v>0</v>
      </c>
      <c r="K53" s="308">
        <v>0</v>
      </c>
      <c r="L53" s="308">
        <v>0</v>
      </c>
      <c r="M53" s="309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0">
        <v>0.98742830199278697</v>
      </c>
      <c r="F54" s="310">
        <v>-35.253212349999998</v>
      </c>
      <c r="G54" s="310">
        <v>6.1544406409999999</v>
      </c>
      <c r="H54" s="310">
        <v>0.226571574644788</v>
      </c>
      <c r="I54" s="311">
        <v>40</v>
      </c>
      <c r="J54" s="312">
        <v>-3.3901972877937302E-2</v>
      </c>
      <c r="K54" s="312">
        <v>0.69382336958448299</v>
      </c>
      <c r="L54" s="312">
        <v>-1.2849007801732501E-3</v>
      </c>
      <c r="M54" s="313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4">
        <v>0.987258471486126</v>
      </c>
      <c r="F55" s="314">
        <v>-35.253212349999998</v>
      </c>
      <c r="G55" s="314">
        <v>6.0587000719999997</v>
      </c>
      <c r="H55" s="314">
        <v>7.9351178479290699E-2</v>
      </c>
      <c r="I55" s="315">
        <v>40</v>
      </c>
      <c r="J55" s="316">
        <v>-4.95013227495672E-2</v>
      </c>
      <c r="K55" s="316">
        <v>0.96379986125322403</v>
      </c>
      <c r="L55" s="316">
        <v>-2.2303785271091201E-3</v>
      </c>
      <c r="M55" s="317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5">
        <v>0.4</v>
      </c>
      <c r="F56" s="305">
        <v>-40.514948179999998</v>
      </c>
      <c r="G56" s="305">
        <v>2.874795695</v>
      </c>
      <c r="H56" s="305">
        <v>0.93510758400000005</v>
      </c>
      <c r="I56" s="307">
        <v>40</v>
      </c>
      <c r="J56" s="308">
        <v>0</v>
      </c>
      <c r="K56" s="308">
        <v>0</v>
      </c>
      <c r="L56" s="308">
        <v>0</v>
      </c>
      <c r="M56" s="309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5">
        <v>0.61662289299999995</v>
      </c>
      <c r="F57" s="305">
        <v>-38.4</v>
      </c>
      <c r="G57" s="305">
        <v>3.8705351889999999</v>
      </c>
      <c r="H57" s="305">
        <v>0.87002503099999995</v>
      </c>
      <c r="I57" s="307">
        <v>40</v>
      </c>
      <c r="J57" s="308">
        <v>0</v>
      </c>
      <c r="K57" s="308">
        <v>0</v>
      </c>
      <c r="L57" s="308">
        <v>0</v>
      </c>
      <c r="M57" s="309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5">
        <v>0.76572901199999999</v>
      </c>
      <c r="F58" s="305">
        <v>-36.023791150000001</v>
      </c>
      <c r="G58" s="305">
        <v>4.8662746830000003</v>
      </c>
      <c r="H58" s="305">
        <v>0.80494247799999996</v>
      </c>
      <c r="I58" s="307">
        <v>40</v>
      </c>
      <c r="J58" s="308">
        <v>0</v>
      </c>
      <c r="K58" s="308">
        <v>0</v>
      </c>
      <c r="L58" s="308">
        <v>0</v>
      </c>
      <c r="M58" s="309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5">
        <v>1.053587472</v>
      </c>
      <c r="F59" s="305">
        <v>-35.299999999999997</v>
      </c>
      <c r="G59" s="305">
        <v>4.8662746830000003</v>
      </c>
      <c r="H59" s="305">
        <v>0.68110423399999998</v>
      </c>
      <c r="I59" s="307">
        <v>40</v>
      </c>
      <c r="J59" s="308">
        <v>0</v>
      </c>
      <c r="K59" s="308">
        <v>0</v>
      </c>
      <c r="L59" s="308">
        <v>0</v>
      </c>
      <c r="M59" s="309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5">
        <v>1.276885373</v>
      </c>
      <c r="F60" s="305">
        <v>-34.342437070000003</v>
      </c>
      <c r="G60" s="305">
        <v>5.4518822419999999</v>
      </c>
      <c r="H60" s="305">
        <v>0.55726598999999999</v>
      </c>
      <c r="I60" s="307">
        <v>40</v>
      </c>
      <c r="J60" s="308">
        <v>0</v>
      </c>
      <c r="K60" s="308">
        <v>0</v>
      </c>
      <c r="L60" s="308">
        <v>0</v>
      </c>
      <c r="M60" s="309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0">
        <v>0.33378383212380802</v>
      </c>
      <c r="F61" s="310">
        <v>-36.023791150000001</v>
      </c>
      <c r="G61" s="310">
        <v>4.8662746830000003</v>
      </c>
      <c r="H61" s="310">
        <v>0.49122795797177399</v>
      </c>
      <c r="I61" s="311">
        <v>40</v>
      </c>
      <c r="J61" s="312">
        <v>-9.2263492839078001E-3</v>
      </c>
      <c r="K61" s="312">
        <v>0.45957571089624999</v>
      </c>
      <c r="L61" s="312">
        <v>-9.6764244989513298E-4</v>
      </c>
      <c r="M61" s="313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4">
        <v>0.39253387380634902</v>
      </c>
      <c r="F62" s="314">
        <v>-35.299999999999997</v>
      </c>
      <c r="G62" s="314">
        <v>4.8662746830000003</v>
      </c>
      <c r="H62" s="314">
        <v>0.30450986619695802</v>
      </c>
      <c r="I62" s="315">
        <v>40</v>
      </c>
      <c r="J62" s="316">
        <v>-1.67993072626435E-2</v>
      </c>
      <c r="K62" s="316">
        <v>0.67108889173422104</v>
      </c>
      <c r="L62" s="316">
        <v>-2.0300823594516502E-3</v>
      </c>
      <c r="M62" s="317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5">
        <v>3.176194476</v>
      </c>
      <c r="F63" s="305">
        <v>-40.836660860000002</v>
      </c>
      <c r="G63" s="305">
        <v>3.6785891739999999</v>
      </c>
      <c r="H63" s="305">
        <v>0.15021557599999999</v>
      </c>
      <c r="I63" s="307">
        <v>40</v>
      </c>
      <c r="J63" s="308">
        <v>0</v>
      </c>
      <c r="K63" s="308">
        <v>0</v>
      </c>
      <c r="L63" s="308">
        <v>0</v>
      </c>
      <c r="M63" s="309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5">
        <v>3.3904645059999998</v>
      </c>
      <c r="F64" s="305">
        <v>-39.287521640000001</v>
      </c>
      <c r="G64" s="305">
        <v>4.4905740459999999</v>
      </c>
      <c r="H64" s="305">
        <v>8.3478316999999996E-2</v>
      </c>
      <c r="I64" s="307">
        <v>40</v>
      </c>
      <c r="J64" s="308">
        <v>0</v>
      </c>
      <c r="K64" s="308">
        <v>0</v>
      </c>
      <c r="L64" s="308">
        <v>0</v>
      </c>
      <c r="M64" s="309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5">
        <v>3.2572742130000001</v>
      </c>
      <c r="F65" s="305">
        <v>-37.5</v>
      </c>
      <c r="G65" s="305">
        <v>6.3462147949999999</v>
      </c>
      <c r="H65" s="305">
        <v>8.6622649999999995E-2</v>
      </c>
      <c r="I65" s="307">
        <v>40</v>
      </c>
      <c r="J65" s="308">
        <v>0</v>
      </c>
      <c r="K65" s="308">
        <v>0</v>
      </c>
      <c r="L65" s="308">
        <v>0</v>
      </c>
      <c r="M65" s="309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5">
        <v>3.601773562</v>
      </c>
      <c r="F66" s="305">
        <v>-37.88253684</v>
      </c>
      <c r="G66" s="305">
        <v>6.9836070289999999</v>
      </c>
      <c r="H66" s="305">
        <v>5.4826185999999999E-2</v>
      </c>
      <c r="I66" s="307">
        <v>40</v>
      </c>
      <c r="J66" s="308">
        <v>0</v>
      </c>
      <c r="K66" s="308">
        <v>0</v>
      </c>
      <c r="L66" s="308">
        <v>0</v>
      </c>
      <c r="M66" s="309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5">
        <v>3.9320532479999999</v>
      </c>
      <c r="F67" s="305">
        <v>-38.143324819999997</v>
      </c>
      <c r="G67" s="305">
        <v>7.6185870979999999</v>
      </c>
      <c r="H67" s="305">
        <v>2.3029722999999998E-2</v>
      </c>
      <c r="I67" s="307">
        <v>40</v>
      </c>
      <c r="J67" s="308">
        <v>0</v>
      </c>
      <c r="K67" s="308">
        <v>0</v>
      </c>
      <c r="L67" s="308">
        <v>0</v>
      </c>
      <c r="M67" s="309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8">
        <v>1.82137779524266</v>
      </c>
      <c r="F68" s="318">
        <v>-37.5</v>
      </c>
      <c r="G68" s="318">
        <v>6.3462147949999999</v>
      </c>
      <c r="H68" s="318">
        <v>6.7811791498411197E-2</v>
      </c>
      <c r="I68" s="319">
        <v>40</v>
      </c>
      <c r="J68" s="320">
        <v>-6.0766568968526301E-2</v>
      </c>
      <c r="K68" s="320">
        <v>0.93081585658295796</v>
      </c>
      <c r="L68" s="320">
        <v>-1.3966888276177401E-3</v>
      </c>
      <c r="M68" s="321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4">
        <v>1.62668116109167</v>
      </c>
      <c r="F69" s="314">
        <v>-37.88253684</v>
      </c>
      <c r="G69" s="314">
        <v>6.9836070289999999</v>
      </c>
      <c r="H69" s="314">
        <v>2.9713602712276601E-2</v>
      </c>
      <c r="I69" s="315">
        <v>40</v>
      </c>
      <c r="J69" s="316">
        <v>-8.5433289200744306E-2</v>
      </c>
      <c r="K69" s="316">
        <v>1.2709629183122999</v>
      </c>
      <c r="L69" s="316">
        <v>-1.1319192336313501E-3</v>
      </c>
      <c r="M69" s="317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5">
        <v>0.15</v>
      </c>
      <c r="F70" s="305">
        <v>-36</v>
      </c>
      <c r="G70" s="305">
        <v>2</v>
      </c>
      <c r="H70" s="305">
        <v>1</v>
      </c>
      <c r="I70" s="307">
        <v>40</v>
      </c>
      <c r="J70" s="308">
        <v>0</v>
      </c>
      <c r="K70" s="308">
        <v>0</v>
      </c>
      <c r="L70" s="308">
        <v>0</v>
      </c>
      <c r="M70" s="309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5">
        <v>0.38791910400000001</v>
      </c>
      <c r="F71" s="305">
        <v>-35.5</v>
      </c>
      <c r="G71" s="305">
        <v>4</v>
      </c>
      <c r="H71" s="305">
        <v>0.90548154300000006</v>
      </c>
      <c r="I71" s="307">
        <v>40</v>
      </c>
      <c r="J71" s="308">
        <v>0</v>
      </c>
      <c r="K71" s="308">
        <v>0</v>
      </c>
      <c r="L71" s="308">
        <v>0</v>
      </c>
      <c r="M71" s="309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5">
        <v>0.62619621599999997</v>
      </c>
      <c r="F72" s="305">
        <v>-33</v>
      </c>
      <c r="G72" s="305">
        <v>5.7212302499999996</v>
      </c>
      <c r="H72" s="305">
        <v>0.78556546000000005</v>
      </c>
      <c r="I72" s="307">
        <v>40</v>
      </c>
      <c r="J72" s="308">
        <v>0</v>
      </c>
      <c r="K72" s="308">
        <v>0</v>
      </c>
      <c r="L72" s="308">
        <v>0</v>
      </c>
      <c r="M72" s="309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5">
        <v>0.93158890100000002</v>
      </c>
      <c r="F73" s="305">
        <v>-33.35</v>
      </c>
      <c r="G73" s="305">
        <v>5.7212302499999996</v>
      </c>
      <c r="H73" s="305">
        <v>0.66564937700000004</v>
      </c>
      <c r="I73" s="307">
        <v>40</v>
      </c>
      <c r="J73" s="308">
        <v>0</v>
      </c>
      <c r="K73" s="308">
        <v>0</v>
      </c>
      <c r="L73" s="308">
        <v>0</v>
      </c>
      <c r="M73" s="309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5">
        <v>1.2779567300000001</v>
      </c>
      <c r="F74" s="305">
        <v>-34.517392000000001</v>
      </c>
      <c r="G74" s="305">
        <v>5.7212302499999996</v>
      </c>
      <c r="H74" s="305">
        <v>0.54573329400000004</v>
      </c>
      <c r="I74" s="307">
        <v>40</v>
      </c>
      <c r="J74" s="308">
        <v>0</v>
      </c>
      <c r="K74" s="308">
        <v>0</v>
      </c>
      <c r="L74" s="308">
        <v>0</v>
      </c>
      <c r="M74" s="309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8">
        <v>0.27700871173110803</v>
      </c>
      <c r="F75" s="318">
        <v>-33</v>
      </c>
      <c r="G75" s="318">
        <v>5.7212302499999996</v>
      </c>
      <c r="H75" s="318">
        <v>0.4865118291885</v>
      </c>
      <c r="I75" s="319">
        <v>40</v>
      </c>
      <c r="J75" s="320">
        <v>-9.4849130944012709E-3</v>
      </c>
      <c r="K75" s="320">
        <v>0.46302369368771501</v>
      </c>
      <c r="L75" s="320">
        <v>-7.1341860056578195E-4</v>
      </c>
      <c r="M75" s="321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4">
        <v>0.35376401507794197</v>
      </c>
      <c r="F76" s="314">
        <v>-33.35</v>
      </c>
      <c r="G76" s="314">
        <v>5.7212302499999996</v>
      </c>
      <c r="H76" s="314">
        <v>0.30333053043746</v>
      </c>
      <c r="I76" s="315">
        <v>40</v>
      </c>
      <c r="J76" s="316">
        <v>-1.7746347868875599E-2</v>
      </c>
      <c r="K76" s="316">
        <v>0.68256991216863605</v>
      </c>
      <c r="L76" s="316">
        <v>-1.3911792841456701E-3</v>
      </c>
      <c r="M76" s="317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5">
        <v>1.489402246</v>
      </c>
      <c r="F77" s="305">
        <v>-32.425267750000003</v>
      </c>
      <c r="G77" s="305">
        <v>8.1732612079999996</v>
      </c>
      <c r="H77" s="305">
        <v>0.390598736</v>
      </c>
      <c r="I77" s="307">
        <v>40</v>
      </c>
      <c r="J77" s="308">
        <v>0</v>
      </c>
      <c r="K77" s="308">
        <v>0</v>
      </c>
      <c r="L77" s="308">
        <v>0</v>
      </c>
      <c r="M77" s="309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5">
        <v>2.5784172540000001</v>
      </c>
      <c r="F78" s="305">
        <v>-34.732126100000002</v>
      </c>
      <c r="G78" s="305">
        <v>6.4805035139999996</v>
      </c>
      <c r="H78" s="305">
        <v>0.140772912</v>
      </c>
      <c r="I78" s="307">
        <v>40</v>
      </c>
      <c r="J78" s="308">
        <v>0</v>
      </c>
      <c r="K78" s="308">
        <v>0</v>
      </c>
      <c r="L78" s="308">
        <v>0</v>
      </c>
      <c r="M78" s="309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5">
        <v>3.2</v>
      </c>
      <c r="F79" s="305">
        <v>-35.799999999999997</v>
      </c>
      <c r="G79" s="305">
        <v>8.4</v>
      </c>
      <c r="H79" s="305">
        <v>9.3848608E-2</v>
      </c>
      <c r="I79" s="307">
        <v>40</v>
      </c>
      <c r="J79" s="308">
        <v>0</v>
      </c>
      <c r="K79" s="308">
        <v>0</v>
      </c>
      <c r="L79" s="308">
        <v>0</v>
      </c>
      <c r="M79" s="309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5">
        <v>3.85</v>
      </c>
      <c r="F80" s="305">
        <v>-37</v>
      </c>
      <c r="G80" s="305">
        <v>10.2405021</v>
      </c>
      <c r="H80" s="305">
        <v>4.6924304E-2</v>
      </c>
      <c r="I80" s="307">
        <v>40</v>
      </c>
      <c r="J80" s="308">
        <v>0</v>
      </c>
      <c r="K80" s="308">
        <v>0</v>
      </c>
      <c r="L80" s="308">
        <v>0</v>
      </c>
      <c r="M80" s="309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5">
        <v>4.7462813920000002</v>
      </c>
      <c r="F81" s="305">
        <v>-38.750429390000001</v>
      </c>
      <c r="G81" s="305">
        <v>10.27533341</v>
      </c>
      <c r="H81" s="305">
        <v>0</v>
      </c>
      <c r="I81" s="307">
        <v>40</v>
      </c>
      <c r="J81" s="308">
        <v>0</v>
      </c>
      <c r="K81" s="308">
        <v>0</v>
      </c>
      <c r="L81" s="308">
        <v>0</v>
      </c>
      <c r="M81" s="309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8">
        <v>1.7110739256233101</v>
      </c>
      <c r="F82" s="318">
        <v>-35.799999999999997</v>
      </c>
      <c r="G82" s="318">
        <v>8.4</v>
      </c>
      <c r="H82" s="318">
        <v>7.0254583920868696E-2</v>
      </c>
      <c r="I82" s="319">
        <v>40</v>
      </c>
      <c r="J82" s="320">
        <v>-7.4538113411129703E-2</v>
      </c>
      <c r="K82" s="320">
        <v>1.04630053886108</v>
      </c>
      <c r="L82" s="320">
        <v>-3.6720793281783798E-4</v>
      </c>
      <c r="M82" s="321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4">
        <v>1.88346094379506</v>
      </c>
      <c r="F83" s="314">
        <v>-37</v>
      </c>
      <c r="G83" s="314">
        <v>10.2405021</v>
      </c>
      <c r="H83" s="314">
        <v>2.7547042254160901E-2</v>
      </c>
      <c r="I83" s="315">
        <v>40</v>
      </c>
      <c r="J83" s="316">
        <v>-0.12530997479160699</v>
      </c>
      <c r="K83" s="316">
        <v>1.62759988176077</v>
      </c>
      <c r="L83" s="316">
        <v>-1.10508201486912E-4</v>
      </c>
      <c r="M83" s="317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5">
        <v>2.1163530869999998</v>
      </c>
      <c r="F84" s="305">
        <v>-34.262862310000003</v>
      </c>
      <c r="G84" s="305">
        <v>5.1763874239999996</v>
      </c>
      <c r="H84" s="305">
        <v>0.160694541</v>
      </c>
      <c r="I84" s="307">
        <v>40</v>
      </c>
      <c r="J84" s="308">
        <v>0</v>
      </c>
      <c r="K84" s="308">
        <v>0</v>
      </c>
      <c r="L84" s="308">
        <v>0</v>
      </c>
      <c r="M84" s="309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5">
        <v>2.248633329</v>
      </c>
      <c r="F85" s="305">
        <v>-34.542843070000004</v>
      </c>
      <c r="G85" s="305">
        <v>5.5545244839999999</v>
      </c>
      <c r="H85" s="305">
        <v>0.14082196299999999</v>
      </c>
      <c r="I85" s="307">
        <v>40</v>
      </c>
      <c r="J85" s="308">
        <v>0</v>
      </c>
      <c r="K85" s="308">
        <v>0</v>
      </c>
      <c r="L85" s="308">
        <v>0</v>
      </c>
      <c r="M85" s="309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5">
        <v>2.387761791</v>
      </c>
      <c r="F86" s="305">
        <v>-34.721360509999997</v>
      </c>
      <c r="G86" s="305">
        <v>5.8164304019999999</v>
      </c>
      <c r="H86" s="305">
        <v>0.120819368</v>
      </c>
      <c r="I86" s="307">
        <v>40</v>
      </c>
      <c r="J86" s="308">
        <v>0</v>
      </c>
      <c r="K86" s="308">
        <v>0</v>
      </c>
      <c r="L86" s="308">
        <v>0</v>
      </c>
      <c r="M86" s="309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5">
        <v>2.5187775189999999</v>
      </c>
      <c r="F87" s="305">
        <v>-35.033375419999999</v>
      </c>
      <c r="G87" s="305">
        <v>6.224063396</v>
      </c>
      <c r="H87" s="305">
        <v>0.10107817199999999</v>
      </c>
      <c r="I87" s="307">
        <v>40</v>
      </c>
      <c r="J87" s="308">
        <v>0</v>
      </c>
      <c r="K87" s="308">
        <v>0</v>
      </c>
      <c r="L87" s="308">
        <v>0</v>
      </c>
      <c r="M87" s="309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5">
        <v>2.656440592</v>
      </c>
      <c r="F88" s="305">
        <v>-35.251692669999997</v>
      </c>
      <c r="G88" s="305">
        <v>6.5182658619999998</v>
      </c>
      <c r="H88" s="305">
        <v>8.1205866000000002E-2</v>
      </c>
      <c r="I88" s="307">
        <v>40</v>
      </c>
      <c r="J88" s="308">
        <v>0</v>
      </c>
      <c r="K88" s="308">
        <v>0</v>
      </c>
      <c r="L88" s="308">
        <v>0</v>
      </c>
      <c r="M88" s="309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8">
        <v>1.2328654654123199</v>
      </c>
      <c r="F89" s="318">
        <v>-34.721360509999997</v>
      </c>
      <c r="G89" s="318">
        <v>5.8164304019999999</v>
      </c>
      <c r="H89" s="318">
        <v>8.7335193020600194E-2</v>
      </c>
      <c r="I89" s="319">
        <v>40</v>
      </c>
      <c r="J89" s="320">
        <v>-4.0928399400390697E-2</v>
      </c>
      <c r="K89" s="320">
        <v>0.76729203945074098</v>
      </c>
      <c r="L89" s="320">
        <v>-2.23202741619469E-3</v>
      </c>
      <c r="M89" s="321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4">
        <v>1.0443537680583199</v>
      </c>
      <c r="F90" s="314">
        <v>-35.033375419999999</v>
      </c>
      <c r="G90" s="314">
        <v>6.224063396</v>
      </c>
      <c r="H90" s="314">
        <v>5.0291716040989698E-2</v>
      </c>
      <c r="I90" s="315">
        <v>40</v>
      </c>
      <c r="J90" s="316">
        <v>-5.3583022235768898E-2</v>
      </c>
      <c r="K90" s="316">
        <v>0.99959009039973401</v>
      </c>
      <c r="L90" s="316">
        <v>-2.17584483209612E-3</v>
      </c>
      <c r="M90" s="317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5">
        <v>2.579251014</v>
      </c>
      <c r="F91" s="305">
        <v>-35.681614400000001</v>
      </c>
      <c r="G91" s="305">
        <v>6.685797612</v>
      </c>
      <c r="H91" s="305">
        <v>0.19955409900000001</v>
      </c>
      <c r="I91" s="307">
        <v>40</v>
      </c>
      <c r="J91" s="308">
        <v>0</v>
      </c>
      <c r="K91" s="308">
        <v>0</v>
      </c>
      <c r="L91" s="308">
        <v>0</v>
      </c>
      <c r="M91" s="309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5">
        <v>3.0084345560000001</v>
      </c>
      <c r="F92" s="305">
        <v>-36.607845269999999</v>
      </c>
      <c r="G92" s="305">
        <v>7.3211869529999998</v>
      </c>
      <c r="H92" s="305">
        <v>0.154966031</v>
      </c>
      <c r="I92" s="307">
        <v>40</v>
      </c>
      <c r="J92" s="308">
        <v>0</v>
      </c>
      <c r="K92" s="308">
        <v>0</v>
      </c>
      <c r="L92" s="308">
        <v>0</v>
      </c>
      <c r="M92" s="309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8">
        <v>1.3010623280670599</v>
      </c>
      <c r="F93" s="318">
        <v>-35.681614400000001</v>
      </c>
      <c r="G93" s="318">
        <v>6.685797612</v>
      </c>
      <c r="H93" s="318">
        <v>0.14092666704225201</v>
      </c>
      <c r="I93" s="319">
        <v>40</v>
      </c>
      <c r="J93" s="320">
        <v>-4.7342808824630003E-2</v>
      </c>
      <c r="K93" s="320">
        <v>0.81416912533326502</v>
      </c>
      <c r="L93" s="320">
        <v>-1.0600643623825999E-3</v>
      </c>
      <c r="M93" s="321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2">
        <v>1.2569600366115099</v>
      </c>
      <c r="F94" s="322">
        <v>-36.607845269999999</v>
      </c>
      <c r="G94" s="322">
        <v>7.3211869529999998</v>
      </c>
      <c r="H94" s="322">
        <v>7.7695999446950006E-2</v>
      </c>
      <c r="I94" s="323">
        <v>40</v>
      </c>
      <c r="J94" s="324">
        <v>-6.9682598068340706E-2</v>
      </c>
      <c r="K94" s="324">
        <v>1.13797018307135</v>
      </c>
      <c r="L94" s="324">
        <v>-8.5220021901797499E-4</v>
      </c>
      <c r="M94" s="325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customSheetViews>
    <customSheetView guid="{2AD71B1A-5547-4554-B6E7-4BAB59EA70EB}" scale="80" showGridLines="0" showAutoFilter="1" state="hidden">
      <selection activeCell="A2" sqref="A2"/>
      <pageMargins left="0.7" right="0.7" top="0.78740157499999996" bottom="0.78740157499999996" header="0.3" footer="0.3"/>
      <pageSetup paperSize="9" orientation="portrait" r:id="rId1"/>
      <autoFilter ref="A2:M158" xr:uid="{E3F2D8D2-B7EA-4B71-B82E-A388F76C1506}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539</v>
      </c>
    </row>
    <row r="2" spans="1:16">
      <c r="A2" s="233"/>
      <c r="B2" s="232" t="s">
        <v>456</v>
      </c>
    </row>
    <row r="3" spans="1:16" ht="20.100000000000001" customHeight="1">
      <c r="A3" s="372" t="s">
        <v>248</v>
      </c>
      <c r="B3" s="234" t="s">
        <v>86</v>
      </c>
      <c r="C3" s="235"/>
      <c r="D3" s="374" t="s">
        <v>457</v>
      </c>
      <c r="E3" s="375"/>
      <c r="F3" s="375"/>
      <c r="G3" s="375"/>
      <c r="H3" s="375"/>
      <c r="I3" s="375"/>
      <c r="J3" s="376"/>
      <c r="K3" s="236"/>
      <c r="L3" s="236"/>
      <c r="M3" s="236"/>
      <c r="N3" s="236"/>
      <c r="O3" s="237"/>
      <c r="P3" s="236"/>
    </row>
    <row r="4" spans="1:16" ht="20.100000000000001" customHeight="1">
      <c r="A4" s="37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customSheetViews>
    <customSheetView guid="{2AD71B1A-5547-4554-B6E7-4BAB59EA70EB}" scale="80" showPageBreaks="1" showGridLines="0" fitToPage="1" printArea="1" state="hidden" view="pageBreakPreview">
      <selection sqref="A1:P22"/>
      <pageMargins left="0.78740157499999996" right="0.78740157499999996" top="0.984251969" bottom="0.984251969" header="0.4921259845" footer="0.4921259845"/>
      <pageSetup paperSize="9" scale="71" orientation="landscape" r:id="rId1"/>
      <headerFooter alignWithMargins="0"/>
    </customSheetView>
  </customSheetViews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Info</vt:lpstr>
      <vt:lpstr>Netzbetreiber</vt:lpstr>
      <vt:lpstr>SLP-Verfahren</vt:lpstr>
      <vt:lpstr>SLP-Temp-Gebiet#01</vt:lpstr>
      <vt:lpstr>SLP-Temp-Gebiet#02</vt:lpstr>
      <vt:lpstr>SLP-Profile</vt:lpstr>
      <vt:lpstr>SLP-Feiertage</vt:lpstr>
      <vt:lpstr>BDEW-Standard</vt:lpstr>
      <vt:lpstr>Wochentag F(WT)</vt:lpstr>
      <vt:lpstr>HIST_MONATSDURCHSCHNITT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Lorenz, Jürgen</cp:lastModifiedBy>
  <cp:lastPrinted>2023-10-25T08:59:08Z</cp:lastPrinted>
  <dcterms:created xsi:type="dcterms:W3CDTF">2015-01-15T05:25:41Z</dcterms:created>
  <dcterms:modified xsi:type="dcterms:W3CDTF">2023-10-25T09:05:39Z</dcterms:modified>
</cp:coreProperties>
</file>